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Смета  коридор" sheetId="1" r:id="rId1"/>
    <sheet name="Смета актов зал" sheetId="2" r:id="rId2"/>
  </sheets>
  <definedNames>
    <definedName name="_xlnm.Print_Area" localSheetId="0">'Смета  коридор'!$A$1:$H$539</definedName>
    <definedName name="_xlnm.Print_Area" localSheetId="1">'Смета актов зал'!$A$1:$H$407</definedName>
  </definedNames>
  <calcPr fullCalcOnLoad="1"/>
</workbook>
</file>

<file path=xl/sharedStrings.xml><?xml version="1.0" encoding="utf-8"?>
<sst xmlns="http://schemas.openxmlformats.org/spreadsheetml/2006/main" count="1893" uniqueCount="423">
  <si>
    <t>УТВЕРЖДАЮ :</t>
  </si>
  <si>
    <t>__________________</t>
  </si>
  <si>
    <t>ЛОКАЛЬНЫЙ РЕСУРСНЫЙ СМЕТНЫЙ РАСЧЁТ № 1</t>
  </si>
  <si>
    <t>Текущий ремонт здания районной администрации Гаврилово-Посадского муниципального района ( 1-й этаж левое крыло (коридор)</t>
  </si>
  <si>
    <t>Основание: Ведомость объемов работ</t>
  </si>
  <si>
    <t xml:space="preserve">Сметная стоимость   </t>
  </si>
  <si>
    <t>тыс. руб</t>
  </si>
  <si>
    <t xml:space="preserve">Средства на оплату труда  </t>
  </si>
  <si>
    <t>№ п/п</t>
  </si>
  <si>
    <t>Шифр норматива</t>
  </si>
  <si>
    <t>Наименование работ</t>
  </si>
  <si>
    <t>Ед. изм.</t>
  </si>
  <si>
    <t>Количество</t>
  </si>
  <si>
    <t>Стоимость руб.</t>
  </si>
  <si>
    <t>на ед.</t>
  </si>
  <si>
    <t>всего</t>
  </si>
  <si>
    <t>61-4-7</t>
  </si>
  <si>
    <t>Ремонт штукатурки потолков по камню и бетону цементно-известковым раствором, площадью отдельных мест:до 1 м2 толщиной слоя до 20 мм</t>
  </si>
  <si>
    <t xml:space="preserve">Накладные расходы </t>
  </si>
  <si>
    <t>Плановые накопления</t>
  </si>
  <si>
    <t>Затраты труда рабочих-строителей</t>
  </si>
  <si>
    <t>чел.-ч</t>
  </si>
  <si>
    <t>Средний разряд работы</t>
  </si>
  <si>
    <t>Затраты труда машинистов</t>
  </si>
  <si>
    <t>МАШИНЫ И МЕХАНИЗМЫ</t>
  </si>
  <si>
    <t>Подъемники мачтовые</t>
  </si>
  <si>
    <t>маш.-ч</t>
  </si>
  <si>
    <t>МАТЕРИАЛЫ</t>
  </si>
  <si>
    <t>402-0041</t>
  </si>
  <si>
    <t>Растворы тяжелые цементно-известковые</t>
  </si>
  <si>
    <t>м3</t>
  </si>
  <si>
    <t>411-1002</t>
  </si>
  <si>
    <t>Вода</t>
  </si>
  <si>
    <t>999-9900</t>
  </si>
  <si>
    <t>Строительный мусор</t>
  </si>
  <si>
    <t>т</t>
  </si>
  <si>
    <t xml:space="preserve">10-06-040-02 </t>
  </si>
  <si>
    <t>Устройство подвесных потолков:одноуровневых (П 213)</t>
  </si>
  <si>
    <t>К=1,15,К=1,25</t>
  </si>
  <si>
    <t>К=1,2</t>
  </si>
  <si>
    <t xml:space="preserve">Шуруповерты </t>
  </si>
  <si>
    <t>Ножницы электрические</t>
  </si>
  <si>
    <t>Перфораторы электрические</t>
  </si>
  <si>
    <t>120-9004</t>
  </si>
  <si>
    <t>Профили потолочные</t>
  </si>
  <si>
    <t>м</t>
  </si>
  <si>
    <t>120-9002</t>
  </si>
  <si>
    <t>Профили направляющие  27/28</t>
  </si>
  <si>
    <t>120-9011</t>
  </si>
  <si>
    <t>Удлинители профилей 60/27</t>
  </si>
  <si>
    <t>шт.</t>
  </si>
  <si>
    <t>120-9013</t>
  </si>
  <si>
    <t>Соединители  одноуровневые</t>
  </si>
  <si>
    <t>120-9014</t>
  </si>
  <si>
    <t>Подвесы с зажимом</t>
  </si>
  <si>
    <t>120-9015</t>
  </si>
  <si>
    <t>Тяги подвесов</t>
  </si>
  <si>
    <t>120-0003</t>
  </si>
  <si>
    <t xml:space="preserve">Дюбели анкерные </t>
  </si>
  <si>
    <t>120-0001</t>
  </si>
  <si>
    <t>Дюбели типа "К" 6/35</t>
  </si>
  <si>
    <t>120-0019</t>
  </si>
  <si>
    <t>Листы ГКЛ</t>
  </si>
  <si>
    <t xml:space="preserve">м </t>
  </si>
  <si>
    <t>120-9010</t>
  </si>
  <si>
    <t xml:space="preserve">Лента уплотнительная </t>
  </si>
  <si>
    <t>120-0004</t>
  </si>
  <si>
    <t>Винты самонарезающие  9 мм</t>
  </si>
  <si>
    <t>120-0008</t>
  </si>
  <si>
    <t>Винты самонарезающие  30 мм</t>
  </si>
  <si>
    <t>120-0025</t>
  </si>
  <si>
    <t>Шпаклевка Фугенфюллер ГВ</t>
  </si>
  <si>
    <t>кг</t>
  </si>
  <si>
    <t>120-9009</t>
  </si>
  <si>
    <t>Лента армирующая</t>
  </si>
  <si>
    <t>120-0028</t>
  </si>
  <si>
    <t>Лента разделительная 50 мм</t>
  </si>
  <si>
    <t>120-0022</t>
  </si>
  <si>
    <t>Грунтовка Тифенгрунд</t>
  </si>
  <si>
    <t>15-04-006-2</t>
  </si>
  <si>
    <t>Покрытие поверхностей грунтовкой глубокого проникновения за 2 раза потолков</t>
  </si>
  <si>
    <t>100 м2</t>
  </si>
  <si>
    <t xml:space="preserve">Подъемники мачтовые </t>
  </si>
  <si>
    <t>Автомобили бортовые  5 т</t>
  </si>
  <si>
    <t>101-1757</t>
  </si>
  <si>
    <t>Ветошь</t>
  </si>
  <si>
    <t>101-9732</t>
  </si>
  <si>
    <t>Грунтовка</t>
  </si>
  <si>
    <t>15-04-027-6</t>
  </si>
  <si>
    <t xml:space="preserve">Шпатлевка  по штукатурке и сборным конструкциям, подготовленным под окраску: потолков </t>
  </si>
  <si>
    <t>101-1667</t>
  </si>
  <si>
    <t>Шпатлевка масляно-клеевая</t>
  </si>
  <si>
    <t>101-1596</t>
  </si>
  <si>
    <t>Шкурка шлифовальная</t>
  </si>
  <si>
    <t>м2</t>
  </si>
  <si>
    <t>15-06-004-2  прим</t>
  </si>
  <si>
    <t>Оклейка структурными обоями потолков с окраской: без подготовки поверхности</t>
  </si>
  <si>
    <t>Автомобили бортовые 5 т</t>
  </si>
  <si>
    <t>101-9770</t>
  </si>
  <si>
    <t>Стеклообои</t>
  </si>
  <si>
    <t>10 м2</t>
  </si>
  <si>
    <t>101-1959</t>
  </si>
  <si>
    <t>Краски водоэмульсионные</t>
  </si>
  <si>
    <t>101-1817</t>
  </si>
  <si>
    <t>Клей для наклейки обоев</t>
  </si>
  <si>
    <t>61-2-7</t>
  </si>
  <si>
    <t>Ремонт штукатурки внутренних стен  по камню и бетону цементно-известковым раствором, площадью отдельных мест:до 1 м2 толщиной слоя до 20 мм</t>
  </si>
  <si>
    <t>10-06-037-01    прим</t>
  </si>
  <si>
    <t>Облицовка стен по одинарному металлическому каркасу из потолочного профиля ГКЛ</t>
  </si>
  <si>
    <t>К=1.15,К=1.25</t>
  </si>
  <si>
    <t>120-9005</t>
  </si>
  <si>
    <t xml:space="preserve">Профили угловые </t>
  </si>
  <si>
    <t xml:space="preserve">Дюбели типа "К" 6/35 </t>
  </si>
  <si>
    <t xml:space="preserve">120-9006 </t>
  </si>
  <si>
    <t>Подвесы прямые</t>
  </si>
  <si>
    <t xml:space="preserve">120-9007 </t>
  </si>
  <si>
    <t>Соединители одноуровневые</t>
  </si>
  <si>
    <t xml:space="preserve">120-0016 </t>
  </si>
  <si>
    <t>Листы гипсокартонные ГКЛО</t>
  </si>
  <si>
    <t xml:space="preserve">м  </t>
  </si>
  <si>
    <t>Решетки радиаторные</t>
  </si>
  <si>
    <t>шт</t>
  </si>
  <si>
    <t>П</t>
  </si>
  <si>
    <t xml:space="preserve">120-0004 </t>
  </si>
  <si>
    <t xml:space="preserve">120-0008 </t>
  </si>
  <si>
    <t xml:space="preserve">120-0026 </t>
  </si>
  <si>
    <t>Клей Перлфикс ГВ</t>
  </si>
  <si>
    <t xml:space="preserve">кг </t>
  </si>
  <si>
    <t xml:space="preserve">120-0025 </t>
  </si>
  <si>
    <t xml:space="preserve">120-9009 </t>
  </si>
  <si>
    <t>Раскладки пластиковые</t>
  </si>
  <si>
    <t xml:space="preserve">120-0028 </t>
  </si>
  <si>
    <t xml:space="preserve">120-0030 </t>
  </si>
  <si>
    <t>Герметик акриловый</t>
  </si>
  <si>
    <t xml:space="preserve">120-0022 </t>
  </si>
  <si>
    <t>15-01-019-5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</si>
  <si>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смесей:по кирпичу и бетону</t>
  </si>
  <si>
    <t>Растворосмесители передвижные 65 л</t>
  </si>
  <si>
    <t>Автопогрузчики 5 т</t>
  </si>
  <si>
    <t>Подъемники мачтовые строительные 0,5 т</t>
  </si>
  <si>
    <t>101-9049</t>
  </si>
  <si>
    <t>Плитки рядовые</t>
  </si>
  <si>
    <t>101-9168</t>
  </si>
  <si>
    <t>Клей для облицовочных работ (сухая смесь)</t>
  </si>
  <si>
    <t>402-9111</t>
  </si>
  <si>
    <t>Смесь сухая для заделки швов</t>
  </si>
  <si>
    <t>411-0001</t>
  </si>
  <si>
    <t>15-04-027-5</t>
  </si>
  <si>
    <t>Дополнительная шпатлёвка стен</t>
  </si>
  <si>
    <t>Затраты труда рабочих</t>
  </si>
  <si>
    <t xml:space="preserve">   </t>
  </si>
  <si>
    <t xml:space="preserve">Автомобили бортовые </t>
  </si>
  <si>
    <t>15-04-006-4</t>
  </si>
  <si>
    <t>Покрытие поверхностей грунтовкой глубокого проникновения за 2 раза стен перед  окраской</t>
  </si>
  <si>
    <t xml:space="preserve">15-04-048-6 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</si>
  <si>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наполнителем:из мелкозернистого минерала (размер зерна до 1,8 мм)</t>
  </si>
  <si>
    <t>Дрели электрические</t>
  </si>
  <si>
    <t>Автомобили бортовые грузоподъемностью до 5 т</t>
  </si>
  <si>
    <t>402-9096</t>
  </si>
  <si>
    <t>Минеральный или полимерминеральный декоративный состав</t>
  </si>
  <si>
    <t>113-9310</t>
  </si>
  <si>
    <t>Состав грунтовочный на латексной основе</t>
  </si>
  <si>
    <t>Полы</t>
  </si>
  <si>
    <t>57-2-1</t>
  </si>
  <si>
    <t xml:space="preserve">Разборка покрытий полов из линолеума </t>
  </si>
  <si>
    <t xml:space="preserve"> </t>
  </si>
  <si>
    <t xml:space="preserve">МАШИНЫ И МЕХАНИЗМЫ </t>
  </si>
  <si>
    <t xml:space="preserve">МАТЕРИАЛЫ </t>
  </si>
  <si>
    <t>57-3-1</t>
  </si>
  <si>
    <t>Разборка плинтусов деревянных</t>
  </si>
  <si>
    <t>100 м</t>
  </si>
  <si>
    <t>57-1-2</t>
  </si>
  <si>
    <t>Разборка оснований покрытия полов лаг из досок и брусков</t>
  </si>
  <si>
    <t>57-2-9</t>
  </si>
  <si>
    <t>Разборка покрытий полов дощатых</t>
  </si>
  <si>
    <t>57-1-3</t>
  </si>
  <si>
    <t>Разборка покрытий полов из керамических плиток</t>
  </si>
  <si>
    <t>11-01-002-09</t>
  </si>
  <si>
    <t>Устройство тепло- и звукоизоляции засыпной</t>
  </si>
  <si>
    <t>406-9003</t>
  </si>
  <si>
    <t>Гравий керамзитовый</t>
  </si>
  <si>
    <t>11-01-015-01</t>
  </si>
  <si>
    <t>Устройство покрытий: бетонных толщиной 30 мм</t>
  </si>
  <si>
    <t>Компрессоры передвижные</t>
  </si>
  <si>
    <t>Вибраторы поверхностные</t>
  </si>
  <si>
    <t>401-9002</t>
  </si>
  <si>
    <t>Бетон тяжелый</t>
  </si>
  <si>
    <t>408-9040</t>
  </si>
  <si>
    <t>Песок  природный</t>
  </si>
  <si>
    <t>11-01-027-02</t>
  </si>
  <si>
    <t>Устройство покрытий из плиток: керамических</t>
  </si>
  <si>
    <t>Накладные расходы</t>
  </si>
  <si>
    <t>Автомобили бортовые,  5 т</t>
  </si>
  <si>
    <t>101-1741</t>
  </si>
  <si>
    <t xml:space="preserve">Плитки керамические для полов </t>
  </si>
  <si>
    <t>Клей плиточный</t>
  </si>
  <si>
    <t>101-0631</t>
  </si>
  <si>
    <t>Опилки древесные</t>
  </si>
  <si>
    <t>Проемы</t>
  </si>
  <si>
    <t>56-9-1</t>
  </si>
  <si>
    <t>Демонтаж дверных коробок</t>
  </si>
  <si>
    <t>100 шт.</t>
  </si>
  <si>
    <t>Молотки отбойные</t>
  </si>
  <si>
    <t>56-10-1</t>
  </si>
  <si>
    <t>Снятие дверных полотен</t>
  </si>
  <si>
    <t>46-04-012-1</t>
  </si>
  <si>
    <t>Разборка деревянных заполнений проемов:оконных с подоконными досками</t>
  </si>
  <si>
    <t xml:space="preserve">10-01-034-5    </t>
  </si>
  <si>
    <t>Установка в жилых и общественных зданиях оконных блоков из ПВХ профилей</t>
  </si>
  <si>
    <t>Пена монтажная</t>
  </si>
  <si>
    <t>Дюбели монтажные</t>
  </si>
  <si>
    <t>10 шт.</t>
  </si>
  <si>
    <t xml:space="preserve">Лента бутиловая         </t>
  </si>
  <si>
    <t xml:space="preserve">Лента бутиловая  диффузионная       </t>
  </si>
  <si>
    <t xml:space="preserve">Лента бутиловая ПСУЛ    </t>
  </si>
  <si>
    <t xml:space="preserve">Клинья пластиковые      </t>
  </si>
  <si>
    <t xml:space="preserve">Блоки оконные  пластиковые         </t>
  </si>
  <si>
    <t xml:space="preserve">10-01-035-1    </t>
  </si>
  <si>
    <t>Монтаж   подоконных досок пластиковых</t>
  </si>
  <si>
    <t xml:space="preserve">100 м </t>
  </si>
  <si>
    <t>Автомобили бортовые</t>
  </si>
  <si>
    <t>Доски подоконные</t>
  </si>
  <si>
    <t xml:space="preserve">10-01-047-1    </t>
  </si>
  <si>
    <t>Установка блоков из ПХВ в наружных и внутренних дверных проемах:в каменных стенах площадью проема до 3 м2</t>
  </si>
  <si>
    <t>Шуруповерты</t>
  </si>
  <si>
    <t>Перфораторы</t>
  </si>
  <si>
    <t>10 шт</t>
  </si>
  <si>
    <t>Клинья пластиковые монтажные</t>
  </si>
  <si>
    <t>Блоки дверные входные пластиковые</t>
  </si>
  <si>
    <t xml:space="preserve">15-02-024-3 </t>
  </si>
  <si>
    <t>Облицовка гипсовыми и гипсоволокнистыми листами: откосов при отделке под окраску</t>
  </si>
  <si>
    <t>Растворосмесители передвижные 80 л</t>
  </si>
  <si>
    <t>101-0741</t>
  </si>
  <si>
    <t>Листы гипсокартонные для перегородок толщиной 12 мм</t>
  </si>
  <si>
    <t>101-0162</t>
  </si>
  <si>
    <t>Гвозди отделочные круглые 1,6х25 мм</t>
  </si>
  <si>
    <t>101-0219</t>
  </si>
  <si>
    <t>Гипсовые вяжущие Г-3</t>
  </si>
  <si>
    <t>101-0622</t>
  </si>
  <si>
    <t>Миткаль "Т-2" суровый (суровье)</t>
  </si>
  <si>
    <t>10 м</t>
  </si>
  <si>
    <t>402-0086</t>
  </si>
  <si>
    <t>Раствор готовый отделочный тяжелый, известковый 1:2,5</t>
  </si>
  <si>
    <t>101-1839</t>
  </si>
  <si>
    <t>Клей казеиновый</t>
  </si>
  <si>
    <t>Дополнительная шпатлёвка откосов</t>
  </si>
  <si>
    <t>15-04-025-8</t>
  </si>
  <si>
    <t>Улучшенная окраска масляными составами по штукатурке: стен</t>
  </si>
  <si>
    <t>101-9840</t>
  </si>
  <si>
    <t xml:space="preserve">Краски масляные </t>
  </si>
  <si>
    <t>101-1824</t>
  </si>
  <si>
    <t>Олифа для улучшенной окраски (10% натуральной, 90% комбинированной)</t>
  </si>
  <si>
    <t>101-0639</t>
  </si>
  <si>
    <t>Пемза шлаковая (щебень пористый из металлургического шлака), марка 600, фракция от 5 до 10 мм</t>
  </si>
  <si>
    <t>Шкурка шлифовальная двухслойная с зернистостью 40/25</t>
  </si>
  <si>
    <t>101-1823</t>
  </si>
  <si>
    <t>Грунтовки масляные, готовые к применению</t>
  </si>
  <si>
    <t>Электрика</t>
  </si>
  <si>
    <t>67-4-5</t>
  </si>
  <si>
    <t>Демонтаж осветительных приборов:светильники для люминесцентных ламп</t>
  </si>
  <si>
    <t>100 шт</t>
  </si>
  <si>
    <t>67-3-1</t>
  </si>
  <si>
    <t>Демонтаж кабеля</t>
  </si>
  <si>
    <t>67-2-5</t>
  </si>
  <si>
    <t>Демонтаж стальных труб проложенных на скобах диаметром до:25 мм</t>
  </si>
  <si>
    <t>Аппарат для газовой сварки и резки</t>
  </si>
  <si>
    <t>101-0324</t>
  </si>
  <si>
    <t>Кислород</t>
  </si>
  <si>
    <t>101-1602</t>
  </si>
  <si>
    <t>Ацетилен</t>
  </si>
  <si>
    <t>67-9-1</t>
  </si>
  <si>
    <t>Смена: выключателей и розеток</t>
  </si>
  <si>
    <t>500-9011</t>
  </si>
  <si>
    <t>Выключатели, розетки</t>
  </si>
  <si>
    <t>08-02-409-1</t>
  </si>
  <si>
    <t>Труба по установленным конструкциям, по стенам и колоннам с креплением скобами,ПВХ, диаметр, мм, до:25</t>
  </si>
  <si>
    <t>Затраты труда рабочих-монтажников</t>
  </si>
  <si>
    <t>Краны на автомобильном ходу 10 т</t>
  </si>
  <si>
    <t>Автомобили бортовые  8 т</t>
  </si>
  <si>
    <t>Подъемники гидравлические</t>
  </si>
  <si>
    <t>Установки для сварки ручной</t>
  </si>
  <si>
    <t>500-9070</t>
  </si>
  <si>
    <t>Патрубки</t>
  </si>
  <si>
    <t>500-9061</t>
  </si>
  <si>
    <t>Втулки изолирующие</t>
  </si>
  <si>
    <t>500-9031</t>
  </si>
  <si>
    <t>Скобы</t>
  </si>
  <si>
    <t>500-9030</t>
  </si>
  <si>
    <t>Заглушки</t>
  </si>
  <si>
    <t>101-0813</t>
  </si>
  <si>
    <t>Проволока стальная</t>
  </si>
  <si>
    <t>101-1924</t>
  </si>
  <si>
    <t>Электроды диаметром 4 мм Э42А</t>
  </si>
  <si>
    <t>113-9042</t>
  </si>
  <si>
    <t>Клей БМК-5к</t>
  </si>
  <si>
    <t>101-9109</t>
  </si>
  <si>
    <t>Дюбели для пристрелки</t>
  </si>
  <si>
    <t>101-9100</t>
  </si>
  <si>
    <t>Патроны для пристрелки</t>
  </si>
  <si>
    <t>Труба ПВХ 20 мм</t>
  </si>
  <si>
    <t>п.м.</t>
  </si>
  <si>
    <t>Коробка пластмассовая</t>
  </si>
  <si>
    <t>08-02-412-2</t>
  </si>
  <si>
    <t>Провод первый одножильный или многожильный в общей оплетке, суммарное сечение, мм2, до:6</t>
  </si>
  <si>
    <t>101-1764</t>
  </si>
  <si>
    <t>Тальк молотый сорт 1</t>
  </si>
  <si>
    <t>544-0089</t>
  </si>
  <si>
    <t>Лента липкая изоляционная</t>
  </si>
  <si>
    <t>500-9041</t>
  </si>
  <si>
    <t>Сжимы ответвительные</t>
  </si>
  <si>
    <t>500-9140</t>
  </si>
  <si>
    <t>Гильзы соединительные</t>
  </si>
  <si>
    <t>500-9056</t>
  </si>
  <si>
    <t>Колпачки изолирующие</t>
  </si>
  <si>
    <t>500-9500</t>
  </si>
  <si>
    <t>Бирки маркировочные</t>
  </si>
  <si>
    <t>101-9852</t>
  </si>
  <si>
    <t>Краска</t>
  </si>
  <si>
    <t>Провод сечением 3*2,5</t>
  </si>
  <si>
    <t>08-03-594-17</t>
  </si>
  <si>
    <t>Светильник в подвесных потолках, устанавливаемый на закладных деталях, количество ламп в светильнике до 4</t>
  </si>
  <si>
    <t>Краны на автомобильном ходу  10 т</t>
  </si>
  <si>
    <t xml:space="preserve">Подъемники гидравлические </t>
  </si>
  <si>
    <t xml:space="preserve">Лента липкая изоляционная </t>
  </si>
  <si>
    <t>500-9623</t>
  </si>
  <si>
    <t>Лента К226</t>
  </si>
  <si>
    <t>500-9101</t>
  </si>
  <si>
    <t>Кнопки монтажные</t>
  </si>
  <si>
    <t>1000 шт.</t>
  </si>
  <si>
    <t>507-0001</t>
  </si>
  <si>
    <t xml:space="preserve">Провода неизолированные </t>
  </si>
  <si>
    <t>Лампы 18</t>
  </si>
  <si>
    <t xml:space="preserve"> шт.</t>
  </si>
  <si>
    <t>Стартер</t>
  </si>
  <si>
    <t>Светильник</t>
  </si>
  <si>
    <t>Сб. ц. пер.</t>
  </si>
  <si>
    <t>Погрузка  мусора</t>
  </si>
  <si>
    <t>Перевозка  мусора на 10 км</t>
  </si>
  <si>
    <t>ИТОГО:</t>
  </si>
  <si>
    <t>В том числе заработная плата рабочих-строителей</t>
  </si>
  <si>
    <t>Механ.</t>
  </si>
  <si>
    <t>Матер</t>
  </si>
  <si>
    <t>Наклад.</t>
  </si>
  <si>
    <t>ЗП раб.</t>
  </si>
  <si>
    <t>ЗП мех.</t>
  </si>
  <si>
    <t>Мусор</t>
  </si>
  <si>
    <t>См приб</t>
  </si>
  <si>
    <t>В том числе материалы</t>
  </si>
  <si>
    <t xml:space="preserve">Итого накладные расходы (  по видам работ) </t>
  </si>
  <si>
    <t xml:space="preserve">Плановые накопления (  по видам работ) </t>
  </si>
  <si>
    <t>Заготовительно-складные расходы (2% от стоимости материалов)</t>
  </si>
  <si>
    <t>Итого:</t>
  </si>
  <si>
    <t>Зимнее удорожание 1,41%*1,11</t>
  </si>
  <si>
    <t>Непредвиденные работы и затраты 2 %</t>
  </si>
  <si>
    <t>НДС 18%</t>
  </si>
  <si>
    <t xml:space="preserve">ИТОГО с НДС (18%) </t>
  </si>
  <si>
    <t>СОСТАВИЛ:___________________________</t>
  </si>
  <si>
    <t>ПРОВЕРИЛ:___________________________</t>
  </si>
  <si>
    <t>СОГЛАСОВАНО:_______________________________</t>
  </si>
  <si>
    <r>
      <t>100 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</t>
    </r>
  </si>
  <si>
    <r>
      <t>м</t>
    </r>
    <r>
      <rPr>
        <vertAlign val="superscript"/>
        <sz val="10"/>
        <rFont val="Arial Cyr"/>
        <family val="2"/>
      </rPr>
      <t>2</t>
    </r>
  </si>
  <si>
    <r>
      <t>м</t>
    </r>
    <r>
      <rPr>
        <b/>
        <vertAlign val="superscript"/>
        <sz val="10"/>
        <rFont val="Arial Cyr"/>
        <family val="2"/>
      </rPr>
      <t>3</t>
    </r>
  </si>
  <si>
    <r>
      <t>100 м</t>
    </r>
    <r>
      <rPr>
        <b/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</si>
  <si>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</si>
  <si>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3</t>
    </r>
  </si>
  <si>
    <t>Стены</t>
  </si>
  <si>
    <t>Потолок</t>
  </si>
  <si>
    <t>Составлен(а) в текущих (прогнозных) ценах по состоянию на 2 квартал 2009 г.</t>
  </si>
  <si>
    <t>Текущий ремонт здания районной администрации Гаврилово-Посадского муниципального района ( 1-й этаж актовый зал)</t>
  </si>
  <si>
    <t>Окраска поливинилацетатными водоэмульсионными составами улучшенная: по сборным конструкциям, подготовленным под окраску потолков</t>
  </si>
  <si>
    <t>101-9844</t>
  </si>
  <si>
    <t>101-1712</t>
  </si>
  <si>
    <t>Шпатлевка клеевая</t>
  </si>
  <si>
    <t xml:space="preserve">Шкурка шлифовальная </t>
  </si>
  <si>
    <t>Автомобиль бортовой</t>
  </si>
  <si>
    <t>101-0628</t>
  </si>
  <si>
    <t>Олифа</t>
  </si>
  <si>
    <t xml:space="preserve">15-01-050-4 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</si>
  <si>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</si>
  <si>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Пилы дисковые электрические</t>
  </si>
  <si>
    <t>101-9155</t>
  </si>
  <si>
    <t>Листы облицовочные декоративные</t>
  </si>
  <si>
    <t>113-9045</t>
  </si>
  <si>
    <t>Клей</t>
  </si>
  <si>
    <t>62-32-2</t>
  </si>
  <si>
    <t>Окраска масляными составами ранее окрашенных поверхностей стальных и чугунных труб:стальных за 2 раза</t>
  </si>
  <si>
    <t>Краски масляные для наружных работ</t>
  </si>
  <si>
    <t>В том числе механизмы</t>
  </si>
  <si>
    <t>15-04-005-10</t>
  </si>
  <si>
    <t xml:space="preserve">ЛОКАЛЬНЫЙ РЕСУРСНЫЙ СМЕТНЫЙ РАСЧЁТ </t>
  </si>
  <si>
    <t xml:space="preserve">06-01-024-1 </t>
  </si>
  <si>
    <t>Устройство стен подвалов и подпорных стен:бетонных</t>
  </si>
  <si>
    <r>
      <t>100 м</t>
    </r>
    <r>
      <rPr>
        <b/>
        <vertAlign val="superscript"/>
        <sz val="10"/>
        <rFont val="Arial Cyr"/>
        <family val="2"/>
      </rPr>
      <t>3</t>
    </r>
  </si>
  <si>
    <t>Краны башенные при работе на других видах строительства (кроме монтажа технологического оборудования) 8 т</t>
  </si>
  <si>
    <t>Краны на автомобильном ходу при работе на других видах строительства (кроме магистральных трубопроводов) 10 т</t>
  </si>
  <si>
    <t>Вибраторы глубинные</t>
  </si>
  <si>
    <t>Пилы электрические цепные</t>
  </si>
  <si>
    <t>102-0025</t>
  </si>
  <si>
    <t>Пиломатериалы хвойных пород. Бруски обрезные длиной 4-6.5 м, шириной 75-150 мм, толщиной 40-75 мм III сорта</t>
  </si>
  <si>
    <t>102-0061</t>
  </si>
  <si>
    <t>Пиломатериалы хвойных пород. Доски обрезные длиной 4-6.5 м, шириной 75-150 мм, толщиной 44 мм и более III сорта</t>
  </si>
  <si>
    <t>401-9021</t>
  </si>
  <si>
    <t>Бетон (класс по проекту)</t>
  </si>
  <si>
    <t>101-1714</t>
  </si>
  <si>
    <t>Болты строительные с гайками и шайбами</t>
  </si>
  <si>
    <t>203-0511</t>
  </si>
  <si>
    <t>Щиты из досок толщиной 25 мм</t>
  </si>
  <si>
    <t>101-1805</t>
  </si>
  <si>
    <t>Гвозди строительные</t>
  </si>
  <si>
    <t>101-0253</t>
  </si>
  <si>
    <t>Известь строительная негашеная комовая, сорт 1</t>
  </si>
  <si>
    <t>Демонтаж облицовки из ДВП по деревянной обрешетке К=0,7</t>
  </si>
  <si>
    <t>15-01-050-1      прим</t>
  </si>
  <si>
    <t>Шуруповерты строительно-монтажные</t>
  </si>
  <si>
    <t>Облицовка стен по одинарному металлическому каркасу из потолочного профиля ламинированными панелями</t>
  </si>
  <si>
    <t>Листы ламинированные</t>
  </si>
  <si>
    <t xml:space="preserve">м2 </t>
  </si>
  <si>
    <t>203-0352</t>
  </si>
  <si>
    <t>101-0181</t>
  </si>
  <si>
    <t>Саморезы</t>
  </si>
  <si>
    <t>11-01-039-01   прим</t>
  </si>
  <si>
    <t>Устройство бордюра по верху панелей стен</t>
  </si>
  <si>
    <t>Бордюр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</si>
</sst>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0_ ;\-#,##0.0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#,##0_ ;\-#,##0\ "/>
    <numFmt numFmtId="179" formatCode="0.0000000"/>
    <numFmt numFmtId="180" formatCode="0.000%"/>
    <numFmt numFmtId="181" formatCode="0.0000000000"/>
    <numFmt numFmtId="182" formatCode="0.00000000000"/>
    <numFmt numFmtId="183" formatCode="0.000000000"/>
    <numFmt numFmtId="184" formatCode="0.00000000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0000%"/>
    <numFmt numFmtId="196" formatCode="0.000000000000000%"/>
    <numFmt numFmtId="197" formatCode="0.0000000000000000%"/>
    <numFmt numFmtId="198" formatCode="0.00000000000000000%"/>
    <numFmt numFmtId="199" formatCode="0.000000000000000000%"/>
    <numFmt numFmtId="200" formatCode="0.0000000000000000000%"/>
    <numFmt numFmtId="201" formatCode="0.00000000000000000000%"/>
    <numFmt numFmtId="202" formatCode="0.000000000000000000000%"/>
    <numFmt numFmtId="203" formatCode="0.0000000000000000000000%"/>
    <numFmt numFmtId="204" formatCode="0.00000000000000000000000%"/>
    <numFmt numFmtId="205" formatCode="0.000000000000000000000000%"/>
    <numFmt numFmtId="206" formatCode="[$€-2]\ ###,000_);[Red]\([$€-2]\ ###,000\)"/>
    <numFmt numFmtId="207" formatCode="#,##0.0"/>
    <numFmt numFmtId="208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CG Omega"/>
      <family val="2"/>
    </font>
    <font>
      <b/>
      <i/>
      <sz val="10"/>
      <name val="Arial Cyr"/>
      <family val="2"/>
    </font>
    <font>
      <b/>
      <vertAlign val="superscript"/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vertAlign val="superscript"/>
      <sz val="10"/>
      <name val="Arial Cyr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 Cyr"/>
      <family val="0"/>
    </font>
    <font>
      <sz val="10"/>
      <color indexed="11"/>
      <name val="Arial Cyr"/>
      <family val="2"/>
    </font>
    <font>
      <sz val="10"/>
      <color indexed="49"/>
      <name val="Arial Cyr"/>
      <family val="2"/>
    </font>
    <font>
      <sz val="10"/>
      <color indexed="8"/>
      <name val="Arial Cyr"/>
      <family val="0"/>
    </font>
    <font>
      <u val="single"/>
      <sz val="1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53" applyFont="1">
      <alignment/>
    </xf>
    <xf numFmtId="0" fontId="20" fillId="0" borderId="0" xfId="53" applyFont="1">
      <alignment/>
    </xf>
    <xf numFmtId="0" fontId="22" fillId="0" borderId="0" xfId="53" applyFont="1">
      <alignment/>
    </xf>
    <xf numFmtId="0" fontId="0" fillId="0" borderId="0" xfId="53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53" applyFont="1" applyAlignment="1">
      <alignment horizontal="center"/>
    </xf>
    <xf numFmtId="0" fontId="0" fillId="0" borderId="0" xfId="53" applyFont="1">
      <alignment/>
    </xf>
    <xf numFmtId="0" fontId="0" fillId="0" borderId="10" xfId="53" applyFont="1" applyBorder="1" applyAlignment="1">
      <alignment horizontal="center"/>
    </xf>
    <xf numFmtId="0" fontId="0" fillId="0" borderId="11" xfId="53" applyFont="1" applyBorder="1" applyAlignment="1">
      <alignment horizontal="center"/>
    </xf>
    <xf numFmtId="0" fontId="0" fillId="0" borderId="12" xfId="53" applyFont="1" applyBorder="1" applyAlignment="1">
      <alignment horizontal="center"/>
    </xf>
    <xf numFmtId="0" fontId="0" fillId="0" borderId="13" xfId="53" applyFont="1" applyBorder="1" applyAlignment="1">
      <alignment horizontal="center"/>
    </xf>
    <xf numFmtId="0" fontId="0" fillId="0" borderId="14" xfId="53" applyFont="1" applyBorder="1" applyAlignment="1">
      <alignment horizontal="center"/>
    </xf>
    <xf numFmtId="0" fontId="24" fillId="0" borderId="15" xfId="53" applyFont="1" applyFill="1" applyBorder="1" applyAlignment="1">
      <alignment horizontal="center" vertical="top" wrapText="1"/>
    </xf>
    <xf numFmtId="0" fontId="24" fillId="0" borderId="16" xfId="53" applyFont="1" applyFill="1" applyBorder="1" applyAlignment="1">
      <alignment horizontal="center" vertical="top" wrapText="1"/>
    </xf>
    <xf numFmtId="0" fontId="24" fillId="0" borderId="16" xfId="53" applyFont="1" applyFill="1" applyBorder="1" applyAlignment="1">
      <alignment horizontal="left" vertical="top" wrapText="1"/>
    </xf>
    <xf numFmtId="0" fontId="0" fillId="0" borderId="16" xfId="53" applyFont="1" applyFill="1" applyBorder="1" applyAlignment="1">
      <alignment horizontal="right" vertical="top" wrapText="1"/>
    </xf>
    <xf numFmtId="0" fontId="24" fillId="0" borderId="16" xfId="53" applyNumberFormat="1" applyFont="1" applyFill="1" applyBorder="1" applyAlignment="1">
      <alignment horizontal="right" vertical="top" wrapText="1"/>
    </xf>
    <xf numFmtId="0" fontId="0" fillId="0" borderId="16" xfId="53" applyNumberFormat="1" applyFont="1" applyFill="1" applyBorder="1" applyAlignment="1">
      <alignment horizontal="right" vertical="top" wrapText="1"/>
    </xf>
    <xf numFmtId="1" fontId="0" fillId="0" borderId="17" xfId="53" applyNumberFormat="1" applyFont="1" applyFill="1" applyBorder="1" applyAlignment="1">
      <alignment vertical="top"/>
    </xf>
    <xf numFmtId="2" fontId="0" fillId="24" borderId="0" xfId="53" applyNumberFormat="1" applyFill="1">
      <alignment/>
    </xf>
    <xf numFmtId="0" fontId="0" fillId="24" borderId="0" xfId="53" applyFill="1">
      <alignment/>
    </xf>
    <xf numFmtId="0" fontId="28" fillId="24" borderId="0" xfId="53" applyFont="1" applyFill="1">
      <alignment/>
    </xf>
    <xf numFmtId="1" fontId="0" fillId="0" borderId="18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0" fillId="0" borderId="19" xfId="53" applyFont="1" applyFill="1" applyBorder="1" applyAlignment="1">
      <alignment horizontal="left" vertical="top" wrapText="1"/>
    </xf>
    <xf numFmtId="0" fontId="0" fillId="0" borderId="19" xfId="53" applyFont="1" applyFill="1" applyBorder="1" applyAlignment="1">
      <alignment horizontal="center" vertical="top" wrapText="1"/>
    </xf>
    <xf numFmtId="10" fontId="0" fillId="0" borderId="19" xfId="53" applyNumberFormat="1" applyFont="1" applyFill="1" applyBorder="1" applyAlignment="1">
      <alignment horizontal="right" vertical="top" wrapText="1"/>
    </xf>
    <xf numFmtId="0" fontId="0" fillId="0" borderId="19" xfId="53" applyNumberFormat="1" applyFont="1" applyFill="1" applyBorder="1" applyAlignment="1">
      <alignment vertical="top" wrapText="1"/>
    </xf>
    <xf numFmtId="0" fontId="0" fillId="0" borderId="19" xfId="53" applyFont="1" applyFill="1" applyBorder="1" applyAlignment="1">
      <alignment vertical="top" wrapText="1"/>
    </xf>
    <xf numFmtId="1" fontId="0" fillId="0" borderId="20" xfId="53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24" fillId="0" borderId="19" xfId="53" applyFont="1" applyFill="1" applyBorder="1" applyAlignment="1">
      <alignment horizontal="center" vertical="top" wrapText="1"/>
    </xf>
    <xf numFmtId="9" fontId="0" fillId="0" borderId="19" xfId="0" applyNumberFormat="1" applyFont="1" applyBorder="1" applyAlignment="1">
      <alignment horizontal="right" vertical="top" wrapText="1"/>
    </xf>
    <xf numFmtId="1" fontId="24" fillId="0" borderId="20" xfId="0" applyNumberFormat="1" applyFont="1" applyFill="1" applyBorder="1" applyAlignment="1">
      <alignment vertical="top" wrapText="1"/>
    </xf>
    <xf numFmtId="0" fontId="24" fillId="0" borderId="0" xfId="53" applyFont="1" applyAlignment="1">
      <alignment vertical="top" wrapText="1"/>
    </xf>
    <xf numFmtId="0" fontId="0" fillId="0" borderId="0" xfId="53" applyFont="1" applyBorder="1" applyAlignment="1">
      <alignment vertical="top" wrapText="1"/>
    </xf>
    <xf numFmtId="2" fontId="0" fillId="0" borderId="0" xfId="53" applyNumberFormat="1" applyFont="1">
      <alignment/>
    </xf>
    <xf numFmtId="0" fontId="24" fillId="0" borderId="18" xfId="53" applyFont="1" applyFill="1" applyBorder="1" applyAlignment="1">
      <alignment horizontal="center" vertical="top" wrapText="1"/>
    </xf>
    <xf numFmtId="0" fontId="0" fillId="0" borderId="19" xfId="53" applyFont="1" applyFill="1" applyBorder="1" applyAlignment="1">
      <alignment horizontal="right" vertical="top" wrapText="1"/>
    </xf>
    <xf numFmtId="0" fontId="0" fillId="0" borderId="19" xfId="53" applyNumberFormat="1" applyFont="1" applyFill="1" applyBorder="1" applyAlignment="1">
      <alignment horizontal="right" vertical="top" wrapText="1"/>
    </xf>
    <xf numFmtId="0" fontId="0" fillId="24" borderId="0" xfId="53" applyFont="1" applyFill="1">
      <alignment/>
    </xf>
    <xf numFmtId="16" fontId="0" fillId="0" borderId="19" xfId="53" applyNumberFormat="1" applyFont="1" applyFill="1" applyBorder="1" applyAlignment="1">
      <alignment horizontal="center" vertical="top" wrapText="1"/>
    </xf>
    <xf numFmtId="1" fontId="0" fillId="24" borderId="0" xfId="53" applyNumberFormat="1" applyFill="1">
      <alignment/>
    </xf>
    <xf numFmtId="2" fontId="0" fillId="24" borderId="0" xfId="53" applyNumberFormat="1" applyFont="1" applyFill="1">
      <alignment/>
    </xf>
    <xf numFmtId="0" fontId="0" fillId="24" borderId="0" xfId="53" applyFont="1" applyFill="1" applyAlignment="1">
      <alignment vertical="top" wrapText="1"/>
    </xf>
    <xf numFmtId="1" fontId="24" fillId="0" borderId="18" xfId="53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53" applyNumberFormat="1" applyFont="1" applyBorder="1" applyAlignment="1">
      <alignment vertical="top" wrapText="1"/>
    </xf>
    <xf numFmtId="0" fontId="28" fillId="0" borderId="19" xfId="0" applyNumberFormat="1" applyFont="1" applyFill="1" applyBorder="1" applyAlignment="1">
      <alignment vertical="top"/>
    </xf>
    <xf numFmtId="1" fontId="24" fillId="0" borderId="20" xfId="53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4" fillId="0" borderId="19" xfId="53" applyNumberFormat="1" applyFont="1" applyFill="1" applyBorder="1" applyAlignment="1">
      <alignment vertical="top"/>
    </xf>
    <xf numFmtId="1" fontId="0" fillId="0" borderId="18" xfId="53" applyNumberFormat="1" applyFont="1" applyFill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horizontal="right" vertical="top" wrapText="1"/>
    </xf>
    <xf numFmtId="1" fontId="0" fillId="0" borderId="20" xfId="53" applyNumberFormat="1" applyFont="1" applyFill="1" applyBorder="1" applyAlignment="1">
      <alignment vertical="top"/>
    </xf>
    <xf numFmtId="16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Border="1" applyAlignment="1">
      <alignment horizontal="right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 vertical="top" wrapText="1"/>
    </xf>
    <xf numFmtId="1" fontId="0" fillId="0" borderId="2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NumberFormat="1" applyFont="1" applyBorder="1" applyAlignment="1">
      <alignment horizontal="justify" vertical="top" wrapText="1"/>
    </xf>
    <xf numFmtId="0" fontId="0" fillId="0" borderId="19" xfId="0" applyNumberFormat="1" applyFont="1" applyBorder="1" applyAlignment="1">
      <alignment vertical="top"/>
    </xf>
    <xf numFmtId="1" fontId="24" fillId="0" borderId="18" xfId="0" applyNumberFormat="1" applyFont="1" applyFill="1" applyBorder="1" applyAlignment="1">
      <alignment horizontal="center" vertical="top" wrapText="1"/>
    </xf>
    <xf numFmtId="0" fontId="24" fillId="25" borderId="19" xfId="0" applyFont="1" applyFill="1" applyBorder="1" applyAlignment="1">
      <alignment horizontal="center" vertical="top" wrapText="1"/>
    </xf>
    <xf numFmtId="0" fontId="24" fillId="0" borderId="19" xfId="53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 wrapText="1"/>
    </xf>
    <xf numFmtId="1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NumberFormat="1" applyFont="1" applyBorder="1" applyAlignment="1">
      <alignment horizontal="right" vertical="top" wrapText="1"/>
    </xf>
    <xf numFmtId="2" fontId="0" fillId="0" borderId="0" xfId="53" applyNumberFormat="1">
      <alignment/>
    </xf>
    <xf numFmtId="0" fontId="0" fillId="0" borderId="19" xfId="53" applyFont="1" applyFill="1" applyBorder="1">
      <alignment/>
    </xf>
    <xf numFmtId="2" fontId="0" fillId="0" borderId="19" xfId="53" applyNumberFormat="1" applyFont="1" applyFill="1" applyBorder="1">
      <alignment/>
    </xf>
    <xf numFmtId="2" fontId="0" fillId="0" borderId="19" xfId="53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Font="1" applyFill="1" applyBorder="1" applyAlignment="1">
      <alignment horizontal="justify" vertical="top" wrapText="1"/>
    </xf>
    <xf numFmtId="0" fontId="29" fillId="0" borderId="19" xfId="0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right" vertical="top" wrapText="1"/>
    </xf>
    <xf numFmtId="0" fontId="24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right" vertical="top" wrapText="1"/>
    </xf>
    <xf numFmtId="0" fontId="24" fillId="0" borderId="19" xfId="53" applyFont="1" applyFill="1" applyBorder="1" applyAlignment="1">
      <alignment horizontal="left" vertical="top" wrapText="1"/>
    </xf>
    <xf numFmtId="0" fontId="24" fillId="0" borderId="19" xfId="53" applyNumberFormat="1" applyFont="1" applyFill="1" applyBorder="1" applyAlignment="1">
      <alignment horizontal="right" vertical="top" wrapText="1"/>
    </xf>
    <xf numFmtId="3" fontId="24" fillId="0" borderId="19" xfId="0" applyNumberFormat="1" applyFont="1" applyBorder="1" applyAlignment="1">
      <alignment horizontal="center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9" xfId="53" applyNumberFormat="1" applyFont="1" applyFill="1" applyBorder="1" applyAlignment="1">
      <alignment horizontal="right" vertical="top"/>
    </xf>
    <xf numFmtId="1" fontId="24" fillId="0" borderId="20" xfId="0" applyNumberFormat="1" applyFont="1" applyBorder="1" applyAlignment="1">
      <alignment vertical="top" wrapText="1"/>
    </xf>
    <xf numFmtId="0" fontId="0" fillId="0" borderId="18" xfId="53" applyFont="1" applyFill="1" applyBorder="1" applyAlignment="1">
      <alignment horizontal="center" vertical="top" wrapText="1"/>
    </xf>
    <xf numFmtId="169" fontId="0" fillId="0" borderId="19" xfId="53" applyNumberFormat="1" applyFont="1" applyFill="1" applyBorder="1">
      <alignment/>
    </xf>
    <xf numFmtId="0" fontId="0" fillId="0" borderId="19" xfId="53" applyNumberFormat="1" applyFont="1" applyFill="1" applyBorder="1" applyAlignment="1">
      <alignment horizontal="right"/>
    </xf>
    <xf numFmtId="0" fontId="0" fillId="24" borderId="0" xfId="53" applyFont="1" applyFill="1">
      <alignment/>
    </xf>
    <xf numFmtId="0" fontId="24" fillId="24" borderId="0" xfId="53" applyFont="1" applyFill="1" applyAlignment="1">
      <alignment vertical="top" wrapText="1"/>
    </xf>
    <xf numFmtId="0" fontId="0" fillId="24" borderId="0" xfId="53" applyFont="1" applyFill="1" applyBorder="1" applyAlignment="1">
      <alignment vertical="top" wrapText="1"/>
    </xf>
    <xf numFmtId="16" fontId="0" fillId="0" borderId="19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9" xfId="53" applyFont="1" applyBorder="1" applyAlignment="1">
      <alignment vertical="top" wrapText="1"/>
    </xf>
    <xf numFmtId="0" fontId="0" fillId="0" borderId="19" xfId="53" applyFont="1" applyBorder="1" applyAlignment="1">
      <alignment horizontal="center" vertical="top" wrapText="1"/>
    </xf>
    <xf numFmtId="0" fontId="0" fillId="0" borderId="19" xfId="53" applyFont="1" applyBorder="1" applyAlignment="1">
      <alignment horizontal="right" vertical="top" wrapText="1"/>
    </xf>
    <xf numFmtId="0" fontId="0" fillId="25" borderId="19" xfId="0" applyFont="1" applyFill="1" applyBorder="1" applyAlignment="1">
      <alignment horizontal="left" vertical="top" wrapText="1"/>
    </xf>
    <xf numFmtId="1" fontId="0" fillId="0" borderId="20" xfId="53" applyNumberFormat="1" applyFont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2" fontId="0" fillId="0" borderId="0" xfId="53" applyNumberFormat="1" applyFont="1">
      <alignment/>
    </xf>
    <xf numFmtId="0" fontId="0" fillId="0" borderId="19" xfId="0" applyFont="1" applyFill="1" applyBorder="1" applyAlignment="1">
      <alignment horizontal="center" vertical="top"/>
    </xf>
    <xf numFmtId="0" fontId="24" fillId="0" borderId="18" xfId="53" applyFont="1" applyBorder="1" applyAlignment="1">
      <alignment horizontal="center" vertical="top" wrapText="1"/>
    </xf>
    <xf numFmtId="0" fontId="24" fillId="0" borderId="19" xfId="53" applyFont="1" applyBorder="1" applyAlignment="1">
      <alignment horizontal="center" vertical="top" wrapText="1"/>
    </xf>
    <xf numFmtId="0" fontId="24" fillId="0" borderId="19" xfId="53" applyFont="1" applyBorder="1" applyAlignment="1">
      <alignment vertical="top" wrapText="1"/>
    </xf>
    <xf numFmtId="0" fontId="24" fillId="0" borderId="19" xfId="0" applyNumberFormat="1" applyFont="1" applyBorder="1" applyAlignment="1">
      <alignment horizontal="right" vertical="top" wrapText="1"/>
    </xf>
    <xf numFmtId="1" fontId="24" fillId="0" borderId="20" xfId="53" applyNumberFormat="1" applyFont="1" applyBorder="1" applyAlignment="1">
      <alignment vertical="top" wrapText="1"/>
    </xf>
    <xf numFmtId="0" fontId="0" fillId="0" borderId="19" xfId="53" applyFont="1" applyBorder="1" applyAlignment="1">
      <alignment horizontal="left" vertical="top" wrapText="1"/>
    </xf>
    <xf numFmtId="10" fontId="0" fillId="0" borderId="19" xfId="53" applyNumberFormat="1" applyFont="1" applyBorder="1" applyAlignment="1">
      <alignment horizontal="right" vertical="top" wrapText="1"/>
    </xf>
    <xf numFmtId="0" fontId="0" fillId="0" borderId="19" xfId="53" applyNumberFormat="1" applyFont="1" applyBorder="1" applyAlignment="1">
      <alignment vertical="top"/>
    </xf>
    <xf numFmtId="0" fontId="24" fillId="0" borderId="19" xfId="53" applyNumberFormat="1" applyFont="1" applyBorder="1" applyAlignment="1">
      <alignment vertical="top" wrapText="1"/>
    </xf>
    <xf numFmtId="1" fontId="24" fillId="0" borderId="20" xfId="53" applyNumberFormat="1" applyFont="1" applyBorder="1" applyAlignment="1">
      <alignment horizontal="right" vertical="top" wrapText="1"/>
    </xf>
    <xf numFmtId="1" fontId="24" fillId="0" borderId="20" xfId="53" applyNumberFormat="1" applyFont="1" applyBorder="1" applyAlignment="1">
      <alignment vertical="top"/>
    </xf>
    <xf numFmtId="16" fontId="0" fillId="0" borderId="19" xfId="53" applyNumberFormat="1" applyFont="1" applyBorder="1" applyAlignment="1">
      <alignment horizontal="center" vertical="top" wrapText="1"/>
    </xf>
    <xf numFmtId="2" fontId="0" fillId="0" borderId="0" xfId="53" applyNumberFormat="1" applyFont="1" applyAlignment="1">
      <alignment vertical="top" wrapText="1"/>
    </xf>
    <xf numFmtId="0" fontId="0" fillId="0" borderId="0" xfId="53" applyFont="1" applyAlignment="1">
      <alignment vertical="top" wrapText="1"/>
    </xf>
    <xf numFmtId="2" fontId="0" fillId="0" borderId="0" xfId="53" applyNumberFormat="1" applyFont="1" applyBorder="1">
      <alignment/>
    </xf>
    <xf numFmtId="0" fontId="0" fillId="0" borderId="0" xfId="0" applyFont="1" applyAlignment="1">
      <alignment vertical="top"/>
    </xf>
    <xf numFmtId="0" fontId="24" fillId="0" borderId="19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9" fontId="0" fillId="0" borderId="19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/>
    </xf>
    <xf numFmtId="2" fontId="28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" fontId="0" fillId="0" borderId="20" xfId="0" applyNumberFormat="1" applyFont="1" applyFill="1" applyBorder="1" applyAlignment="1">
      <alignment vertical="top" wrapText="1"/>
    </xf>
    <xf numFmtId="2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4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Fill="1" applyBorder="1" applyAlignment="1">
      <alignment vertical="top" wrapText="1"/>
    </xf>
    <xf numFmtId="9" fontId="0" fillId="0" borderId="19" xfId="53" applyNumberFormat="1" applyFont="1" applyFill="1" applyBorder="1" applyAlignment="1">
      <alignment horizontal="right" vertical="top" wrapText="1"/>
    </xf>
    <xf numFmtId="4" fontId="24" fillId="0" borderId="20" xfId="0" applyNumberFormat="1" applyFont="1" applyFill="1" applyBorder="1" applyAlignment="1">
      <alignment vertical="top" wrapText="1"/>
    </xf>
    <xf numFmtId="0" fontId="28" fillId="0" borderId="0" xfId="53" applyFont="1">
      <alignment/>
    </xf>
    <xf numFmtId="2" fontId="28" fillId="0" borderId="0" xfId="53" applyNumberFormat="1" applyFont="1">
      <alignment/>
    </xf>
    <xf numFmtId="0" fontId="0" fillId="0" borderId="19" xfId="0" applyFont="1" applyBorder="1" applyAlignment="1">
      <alignment horizontal="justify" vertical="top" wrapText="1"/>
    </xf>
    <xf numFmtId="3" fontId="0" fillId="0" borderId="20" xfId="53" applyNumberFormat="1" applyFont="1" applyFill="1" applyBorder="1" applyAlignment="1">
      <alignment vertical="top" wrapText="1"/>
    </xf>
    <xf numFmtId="4" fontId="0" fillId="0" borderId="20" xfId="53" applyNumberFormat="1" applyFont="1" applyFill="1" applyBorder="1" applyAlignment="1">
      <alignment vertical="top" wrapText="1"/>
    </xf>
    <xf numFmtId="16" fontId="24" fillId="0" borderId="19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 horizontal="right" vertical="top" wrapText="1"/>
    </xf>
    <xf numFmtId="3" fontId="24" fillId="0" borderId="20" xfId="0" applyNumberFormat="1" applyFont="1" applyFill="1" applyBorder="1" applyAlignment="1">
      <alignment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24" fillId="0" borderId="20" xfId="0" applyNumberFormat="1" applyFont="1" applyFill="1" applyBorder="1" applyAlignment="1">
      <alignment horizontal="right" vertical="top" wrapText="1"/>
    </xf>
    <xf numFmtId="0" fontId="24" fillId="0" borderId="19" xfId="53" applyFont="1" applyFill="1" applyBorder="1" applyAlignment="1">
      <alignment vertical="top" wrapText="1"/>
    </xf>
    <xf numFmtId="3" fontId="0" fillId="0" borderId="0" xfId="53" applyNumberFormat="1" applyFont="1">
      <alignment/>
    </xf>
    <xf numFmtId="4" fontId="0" fillId="0" borderId="0" xfId="53" applyNumberFormat="1" applyFont="1">
      <alignment/>
    </xf>
    <xf numFmtId="3" fontId="0" fillId="0" borderId="0" xfId="53" applyNumberFormat="1" applyFont="1" applyAlignment="1">
      <alignment vertical="top" wrapText="1"/>
    </xf>
    <xf numFmtId="0" fontId="0" fillId="0" borderId="19" xfId="53" applyNumberFormat="1" applyFont="1" applyFill="1" applyBorder="1" applyAlignment="1">
      <alignment vertical="top"/>
    </xf>
    <xf numFmtId="0" fontId="24" fillId="0" borderId="19" xfId="53" applyFont="1" applyFill="1" applyBorder="1" applyAlignment="1">
      <alignment horizontal="center" vertical="top"/>
    </xf>
    <xf numFmtId="0" fontId="0" fillId="0" borderId="19" xfId="53" applyNumberFormat="1" applyFont="1" applyFill="1" applyBorder="1">
      <alignment/>
    </xf>
    <xf numFmtId="1" fontId="0" fillId="0" borderId="20" xfId="53" applyNumberFormat="1" applyFont="1" applyFill="1" applyBorder="1">
      <alignment/>
    </xf>
    <xf numFmtId="4" fontId="0" fillId="0" borderId="0" xfId="53" applyNumberFormat="1" applyFont="1" applyAlignment="1">
      <alignment vertical="top" wrapText="1"/>
    </xf>
    <xf numFmtId="0" fontId="0" fillId="0" borderId="19" xfId="53" applyNumberFormat="1" applyFont="1" applyFill="1" applyBorder="1" applyAlignment="1">
      <alignment horizontal="right" vertical="top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justify" vertical="top" wrapText="1"/>
    </xf>
    <xf numFmtId="0" fontId="28" fillId="0" borderId="19" xfId="0" applyFont="1" applyBorder="1" applyAlignment="1">
      <alignment vertical="top" wrapText="1"/>
    </xf>
    <xf numFmtId="0" fontId="31" fillId="0" borderId="19" xfId="0" applyNumberFormat="1" applyFont="1" applyBorder="1" applyAlignment="1">
      <alignment vertical="top" wrapText="1"/>
    </xf>
    <xf numFmtId="0" fontId="28" fillId="0" borderId="19" xfId="0" applyNumberFormat="1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10" fontId="28" fillId="0" borderId="19" xfId="0" applyNumberFormat="1" applyFont="1" applyBorder="1" applyAlignment="1">
      <alignment horizontal="right" vertical="top" wrapText="1"/>
    </xf>
    <xf numFmtId="0" fontId="28" fillId="0" borderId="19" xfId="0" applyFont="1" applyBorder="1" applyAlignment="1">
      <alignment horizontal="left" vertical="top" wrapText="1"/>
    </xf>
    <xf numFmtId="0" fontId="31" fillId="0" borderId="19" xfId="0" applyNumberFormat="1" applyFont="1" applyBorder="1" applyAlignment="1">
      <alignment vertical="top"/>
    </xf>
    <xf numFmtId="0" fontId="28" fillId="0" borderId="19" xfId="0" applyNumberFormat="1" applyFont="1" applyBorder="1" applyAlignment="1">
      <alignment horizontal="right" vertical="top" wrapText="1"/>
    </xf>
    <xf numFmtId="2" fontId="28" fillId="0" borderId="20" xfId="0" applyNumberFormat="1" applyFont="1" applyBorder="1" applyAlignment="1">
      <alignment vertical="top"/>
    </xf>
    <xf numFmtId="0" fontId="28" fillId="0" borderId="19" xfId="0" applyFont="1" applyBorder="1" applyAlignment="1">
      <alignment horizontal="justify" vertical="top" wrapText="1"/>
    </xf>
    <xf numFmtId="1" fontId="28" fillId="0" borderId="20" xfId="0" applyNumberFormat="1" applyFont="1" applyBorder="1" applyAlignment="1">
      <alignment vertical="top" wrapText="1"/>
    </xf>
    <xf numFmtId="2" fontId="28" fillId="0" borderId="0" xfId="0" applyNumberFormat="1" applyFont="1" applyBorder="1" applyAlignment="1">
      <alignment vertical="top" wrapText="1"/>
    </xf>
    <xf numFmtId="16" fontId="28" fillId="0" borderId="19" xfId="0" applyNumberFormat="1" applyFont="1" applyBorder="1" applyAlignment="1">
      <alignment horizontal="center" vertical="top" wrapText="1"/>
    </xf>
    <xf numFmtId="1" fontId="24" fillId="0" borderId="20" xfId="53" applyNumberFormat="1" applyFont="1" applyFill="1" applyBorder="1" applyAlignment="1">
      <alignment horizontal="right" vertical="top" wrapText="1"/>
    </xf>
    <xf numFmtId="2" fontId="28" fillId="24" borderId="0" xfId="53" applyNumberFormat="1" applyFont="1" applyFill="1">
      <alignment/>
    </xf>
    <xf numFmtId="2" fontId="0" fillId="24" borderId="0" xfId="53" applyNumberFormat="1" applyFont="1" applyFill="1" applyAlignment="1">
      <alignment vertical="top" wrapText="1"/>
    </xf>
    <xf numFmtId="0" fontId="24" fillId="0" borderId="18" xfId="53" applyFont="1" applyFill="1" applyBorder="1" applyAlignment="1">
      <alignment horizontal="center" vertical="top"/>
    </xf>
    <xf numFmtId="0" fontId="24" fillId="0" borderId="19" xfId="0" applyFont="1" applyBorder="1" applyAlignment="1">
      <alignment vertical="top" wrapText="1"/>
    </xf>
    <xf numFmtId="0" fontId="0" fillId="0" borderId="19" xfId="53" applyFont="1" applyFill="1" applyBorder="1" applyAlignment="1">
      <alignment horizontal="center"/>
    </xf>
    <xf numFmtId="0" fontId="0" fillId="0" borderId="19" xfId="53" applyNumberFormat="1" applyFont="1" applyFill="1" applyBorder="1" applyAlignment="1">
      <alignment horizontal="center"/>
    </xf>
    <xf numFmtId="4" fontId="0" fillId="0" borderId="20" xfId="53" applyNumberFormat="1" applyFont="1" applyFill="1" applyBorder="1" applyAlignment="1">
      <alignment horizontal="center"/>
    </xf>
    <xf numFmtId="4" fontId="0" fillId="0" borderId="20" xfId="53" applyNumberFormat="1" applyFont="1" applyFill="1" applyBorder="1" applyAlignment="1">
      <alignment horizontal="right" vertical="top" wrapText="1"/>
    </xf>
    <xf numFmtId="1" fontId="24" fillId="0" borderId="20" xfId="0" applyNumberFormat="1" applyFont="1" applyFill="1" applyBorder="1" applyAlignment="1">
      <alignment horizontal="right" vertical="top" wrapText="1"/>
    </xf>
    <xf numFmtId="2" fontId="0" fillId="24" borderId="0" xfId="0" applyNumberFormat="1" applyFont="1" applyFill="1" applyAlignment="1">
      <alignment/>
    </xf>
    <xf numFmtId="0" fontId="24" fillId="24" borderId="0" xfId="0" applyFont="1" applyFill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right" vertical="top" wrapText="1"/>
    </xf>
    <xf numFmtId="2" fontId="0" fillId="24" borderId="0" xfId="0" applyNumberFormat="1" applyFont="1" applyFill="1" applyAlignment="1">
      <alignment vertical="top" wrapText="1"/>
    </xf>
    <xf numFmtId="1" fontId="0" fillId="24" borderId="0" xfId="0" applyNumberFormat="1" applyFont="1" applyFill="1" applyAlignment="1">
      <alignment/>
    </xf>
    <xf numFmtId="2" fontId="0" fillId="24" borderId="0" xfId="53" applyNumberFormat="1" applyFont="1" applyFill="1">
      <alignment/>
    </xf>
    <xf numFmtId="0" fontId="24" fillId="0" borderId="19" xfId="0" applyFont="1" applyFill="1" applyBorder="1" applyAlignment="1">
      <alignment horizontal="center" vertical="top" wrapText="1"/>
    </xf>
    <xf numFmtId="10" fontId="0" fillId="0" borderId="19" xfId="0" applyNumberFormat="1" applyFont="1" applyFill="1" applyBorder="1" applyAlignment="1">
      <alignment horizontal="right"/>
    </xf>
    <xf numFmtId="0" fontId="24" fillId="0" borderId="19" xfId="0" applyNumberFormat="1" applyFont="1" applyFill="1" applyBorder="1" applyAlignment="1">
      <alignment horizontal="right" vertical="top" wrapText="1"/>
    </xf>
    <xf numFmtId="0" fontId="0" fillId="24" borderId="0" xfId="0" applyFont="1" applyFill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0" borderId="19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2" fontId="0" fillId="24" borderId="0" xfId="0" applyNumberFormat="1" applyFont="1" applyFill="1" applyAlignment="1">
      <alignment vertical="top"/>
    </xf>
    <xf numFmtId="0" fontId="0" fillId="0" borderId="18" xfId="53" applyFont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 wrapText="1"/>
    </xf>
    <xf numFmtId="166" fontId="0" fillId="0" borderId="19" xfId="0" applyNumberFormat="1" applyFont="1" applyFill="1" applyBorder="1" applyAlignment="1">
      <alignment vertical="top" wrapText="1"/>
    </xf>
    <xf numFmtId="166" fontId="0" fillId="0" borderId="19" xfId="53" applyNumberFormat="1" applyFont="1" applyFill="1" applyBorder="1" applyAlignment="1">
      <alignment horizontal="right" vertical="top" wrapText="1"/>
    </xf>
    <xf numFmtId="166" fontId="0" fillId="0" borderId="19" xfId="53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10" fontId="0" fillId="0" borderId="1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24" borderId="0" xfId="0" applyFont="1" applyFill="1" applyAlignment="1">
      <alignment vertical="top"/>
    </xf>
    <xf numFmtId="1" fontId="24" fillId="0" borderId="18" xfId="53" applyNumberFormat="1" applyFont="1" applyBorder="1" applyAlignment="1">
      <alignment horizontal="center" vertical="top"/>
    </xf>
    <xf numFmtId="0" fontId="28" fillId="0" borderId="19" xfId="0" applyNumberFormat="1" applyFont="1" applyFill="1" applyBorder="1" applyAlignment="1">
      <alignment horizontal="center" vertical="top" wrapText="1"/>
    </xf>
    <xf numFmtId="0" fontId="0" fillId="0" borderId="19" xfId="53" applyNumberFormat="1" applyFont="1" applyFill="1" applyBorder="1" applyAlignment="1">
      <alignment horizontal="left" vertical="top" wrapText="1"/>
    </xf>
    <xf numFmtId="0" fontId="0" fillId="0" borderId="19" xfId="53" applyNumberFormat="1" applyFont="1" applyFill="1" applyBorder="1" applyAlignment="1">
      <alignment horizontal="center" vertical="top" wrapText="1"/>
    </xf>
    <xf numFmtId="0" fontId="24" fillId="0" borderId="19" xfId="53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3" fontId="0" fillId="0" borderId="19" xfId="0" applyNumberFormat="1" applyFont="1" applyFill="1" applyBorder="1" applyAlignment="1">
      <alignment horizontal="center" vertical="top" wrapText="1"/>
    </xf>
    <xf numFmtId="0" fontId="0" fillId="25" borderId="19" xfId="0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right" vertical="top"/>
    </xf>
    <xf numFmtId="1" fontId="0" fillId="0" borderId="0" xfId="53" applyNumberFormat="1" applyFont="1">
      <alignment/>
    </xf>
    <xf numFmtId="0" fontId="0" fillId="25" borderId="19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1" fontId="24" fillId="0" borderId="20" xfId="0" applyNumberFormat="1" applyFont="1" applyFill="1" applyBorder="1" applyAlignment="1">
      <alignment vertical="top"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 horizontal="right" vertical="top" wrapText="1"/>
    </xf>
    <xf numFmtId="3" fontId="0" fillId="0" borderId="20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24" fillId="0" borderId="19" xfId="53" applyFont="1" applyFill="1" applyBorder="1" applyAlignment="1">
      <alignment horizontal="right" vertical="top" wrapText="1"/>
    </xf>
    <xf numFmtId="1" fontId="0" fillId="0" borderId="20" xfId="53" applyNumberFormat="1" applyFont="1" applyFill="1" applyBorder="1" applyAlignment="1">
      <alignment horizontal="right" vertical="top" wrapText="1"/>
    </xf>
    <xf numFmtId="2" fontId="28" fillId="0" borderId="0" xfId="53" applyNumberFormat="1" applyFont="1" applyAlignment="1">
      <alignment vertical="top" wrapText="1"/>
    </xf>
    <xf numFmtId="0" fontId="28" fillId="0" borderId="0" xfId="53" applyFont="1" applyAlignment="1">
      <alignment vertical="top" wrapText="1"/>
    </xf>
    <xf numFmtId="0" fontId="24" fillId="0" borderId="21" xfId="53" applyFont="1" applyFill="1" applyBorder="1" applyAlignment="1">
      <alignment horizontal="center" vertical="top" wrapText="1"/>
    </xf>
    <xf numFmtId="0" fontId="0" fillId="0" borderId="22" xfId="53" applyFont="1" applyFill="1" applyBorder="1" applyAlignment="1">
      <alignment horizontal="center" vertical="top" wrapText="1"/>
    </xf>
    <xf numFmtId="0" fontId="0" fillId="0" borderId="22" xfId="53" applyFont="1" applyFill="1" applyBorder="1" applyAlignment="1">
      <alignment horizontal="left" vertical="top" wrapText="1"/>
    </xf>
    <xf numFmtId="0" fontId="0" fillId="0" borderId="22" xfId="53" applyFont="1" applyFill="1" applyBorder="1" applyAlignment="1">
      <alignment horizontal="right" vertical="top" wrapText="1"/>
    </xf>
    <xf numFmtId="0" fontId="24" fillId="0" borderId="22" xfId="53" applyNumberFormat="1" applyFont="1" applyFill="1" applyBorder="1" applyAlignment="1">
      <alignment horizontal="right" vertical="top" wrapText="1"/>
    </xf>
    <xf numFmtId="0" fontId="0" fillId="0" borderId="22" xfId="53" applyNumberFormat="1" applyFont="1" applyFill="1" applyBorder="1" applyAlignment="1">
      <alignment horizontal="right" vertical="top" wrapText="1"/>
    </xf>
    <xf numFmtId="1" fontId="0" fillId="0" borderId="23" xfId="53" applyNumberFormat="1" applyFont="1" applyFill="1" applyBorder="1" applyAlignment="1">
      <alignment horizontal="right" vertical="top" wrapText="1"/>
    </xf>
    <xf numFmtId="0" fontId="24" fillId="0" borderId="0" xfId="53" applyFont="1" applyBorder="1">
      <alignment/>
    </xf>
    <xf numFmtId="1" fontId="34" fillId="0" borderId="0" xfId="53" applyNumberFormat="1" applyFont="1">
      <alignment/>
    </xf>
    <xf numFmtId="0" fontId="24" fillId="0" borderId="0" xfId="53" applyFont="1">
      <alignment/>
    </xf>
    <xf numFmtId="0" fontId="31" fillId="0" borderId="0" xfId="53" applyFo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68" fontId="0" fillId="0" borderId="0" xfId="53" applyNumberFormat="1" applyFont="1">
      <alignment/>
    </xf>
    <xf numFmtId="0" fontId="35" fillId="0" borderId="0" xfId="53" applyFont="1">
      <alignment/>
    </xf>
    <xf numFmtId="0" fontId="34" fillId="0" borderId="0" xfId="53" applyFont="1">
      <alignment/>
    </xf>
    <xf numFmtId="3" fontId="0" fillId="0" borderId="0" xfId="0" applyNumberFormat="1" applyFont="1" applyAlignment="1">
      <alignment/>
    </xf>
    <xf numFmtId="0" fontId="36" fillId="0" borderId="0" xfId="53" applyFont="1">
      <alignment/>
    </xf>
    <xf numFmtId="3" fontId="0" fillId="0" borderId="0" xfId="0" applyNumberFormat="1" applyFont="1" applyAlignment="1">
      <alignment/>
    </xf>
    <xf numFmtId="3" fontId="24" fillId="0" borderId="0" xfId="53" applyNumberFormat="1" applyFont="1">
      <alignment/>
    </xf>
    <xf numFmtId="1" fontId="0" fillId="0" borderId="0" xfId="53" applyNumberFormat="1">
      <alignment/>
    </xf>
    <xf numFmtId="0" fontId="20" fillId="0" borderId="0" xfId="53" applyFont="1">
      <alignment/>
    </xf>
    <xf numFmtId="3" fontId="20" fillId="0" borderId="0" xfId="53" applyNumberFormat="1" applyFont="1">
      <alignment/>
    </xf>
    <xf numFmtId="0" fontId="24" fillId="26" borderId="12" xfId="53" applyFont="1" applyFill="1" applyBorder="1" applyAlignment="1">
      <alignment horizontal="center" vertical="top" wrapText="1"/>
    </xf>
    <xf numFmtId="0" fontId="0" fillId="26" borderId="13" xfId="0" applyFont="1" applyFill="1" applyBorder="1" applyAlignment="1">
      <alignment horizontal="center" vertical="top" wrapText="1"/>
    </xf>
    <xf numFmtId="0" fontId="26" fillId="26" borderId="13" xfId="0" applyFont="1" applyFill="1" applyBorder="1" applyAlignment="1">
      <alignment horizontal="center" vertical="top" wrapText="1"/>
    </xf>
    <xf numFmtId="0" fontId="0" fillId="26" borderId="13" xfId="0" applyFont="1" applyFill="1" applyBorder="1" applyAlignment="1">
      <alignment horizontal="right" vertical="top" wrapText="1"/>
    </xf>
    <xf numFmtId="0" fontId="0" fillId="26" borderId="13" xfId="53" applyNumberFormat="1" applyFont="1" applyFill="1" applyBorder="1" applyAlignment="1">
      <alignment vertical="top" wrapText="1"/>
    </xf>
    <xf numFmtId="4" fontId="0" fillId="26" borderId="24" xfId="0" applyNumberFormat="1" applyFont="1" applyFill="1" applyBorder="1" applyAlignment="1">
      <alignment horizontal="right" vertical="top" wrapText="1"/>
    </xf>
    <xf numFmtId="0" fontId="24" fillId="26" borderId="18" xfId="53" applyFont="1" applyFill="1" applyBorder="1" applyAlignment="1">
      <alignment horizontal="center" vertical="top" wrapText="1"/>
    </xf>
    <xf numFmtId="0" fontId="0" fillId="26" borderId="19" xfId="0" applyFont="1" applyFill="1" applyBorder="1" applyAlignment="1">
      <alignment horizontal="center" vertical="top" wrapText="1"/>
    </xf>
    <xf numFmtId="0" fontId="26" fillId="26" borderId="19" xfId="0" applyFont="1" applyFill="1" applyBorder="1" applyAlignment="1">
      <alignment horizontal="center" vertical="top" wrapText="1"/>
    </xf>
    <xf numFmtId="0" fontId="0" fillId="26" borderId="19" xfId="0" applyFont="1" applyFill="1" applyBorder="1" applyAlignment="1">
      <alignment horizontal="right" vertical="top" wrapText="1"/>
    </xf>
    <xf numFmtId="0" fontId="0" fillId="26" borderId="19" xfId="53" applyNumberFormat="1" applyFont="1" applyFill="1" applyBorder="1" applyAlignment="1">
      <alignment vertical="top" wrapText="1"/>
    </xf>
    <xf numFmtId="4" fontId="0" fillId="26" borderId="20" xfId="0" applyNumberFormat="1" applyFont="1" applyFill="1" applyBorder="1" applyAlignment="1">
      <alignment horizontal="right" vertical="top" wrapText="1"/>
    </xf>
    <xf numFmtId="1" fontId="24" fillId="26" borderId="18" xfId="53" applyNumberFormat="1" applyFont="1" applyFill="1" applyBorder="1" applyAlignment="1">
      <alignment horizontal="center" vertical="top" wrapText="1"/>
    </xf>
    <xf numFmtId="0" fontId="24" fillId="26" borderId="19" xfId="0" applyFont="1" applyFill="1" applyBorder="1" applyAlignment="1">
      <alignment horizontal="center" vertical="top" wrapText="1"/>
    </xf>
    <xf numFmtId="0" fontId="24" fillId="26" borderId="19" xfId="53" applyFont="1" applyFill="1" applyBorder="1" applyAlignment="1">
      <alignment horizontal="center" vertical="top" wrapText="1"/>
    </xf>
    <xf numFmtId="2" fontId="0" fillId="26" borderId="19" xfId="0" applyNumberFormat="1" applyFont="1" applyFill="1" applyBorder="1" applyAlignment="1">
      <alignment horizontal="right" vertical="top" wrapText="1"/>
    </xf>
    <xf numFmtId="0" fontId="24" fillId="26" borderId="19" xfId="0" applyNumberFormat="1" applyFont="1" applyFill="1" applyBorder="1" applyAlignment="1">
      <alignment horizontal="right" vertical="top" wrapText="1"/>
    </xf>
    <xf numFmtId="0" fontId="0" fillId="26" borderId="19" xfId="0" applyNumberFormat="1" applyFont="1" applyFill="1" applyBorder="1" applyAlignment="1">
      <alignment horizontal="right" vertical="top" wrapText="1"/>
    </xf>
    <xf numFmtId="1" fontId="0" fillId="26" borderId="20" xfId="53" applyNumberFormat="1" applyFont="1" applyFill="1" applyBorder="1" applyAlignment="1">
      <alignment vertical="top" wrapText="1"/>
    </xf>
    <xf numFmtId="1" fontId="0" fillId="26" borderId="18" xfId="0" applyNumberFormat="1" applyFont="1" applyFill="1" applyBorder="1" applyAlignment="1">
      <alignment horizontal="center" vertical="top" wrapText="1"/>
    </xf>
    <xf numFmtId="16" fontId="0" fillId="26" borderId="19" xfId="0" applyNumberFormat="1" applyFont="1" applyFill="1" applyBorder="1" applyAlignment="1">
      <alignment horizontal="center" vertical="top" wrapText="1"/>
    </xf>
    <xf numFmtId="0" fontId="0" fillId="26" borderId="18" xfId="53" applyFont="1" applyFill="1" applyBorder="1" applyAlignment="1">
      <alignment horizontal="center" vertical="top" wrapText="1"/>
    </xf>
    <xf numFmtId="0" fontId="0" fillId="26" borderId="19" xfId="53" applyNumberFormat="1" applyFont="1" applyFill="1" applyBorder="1" applyAlignment="1">
      <alignment horizontal="right" vertical="top" wrapText="1"/>
    </xf>
    <xf numFmtId="0" fontId="0" fillId="0" borderId="0" xfId="54" applyFont="1">
      <alignment/>
    </xf>
    <xf numFmtId="0" fontId="0" fillId="0" borderId="0" xfId="54">
      <alignment/>
    </xf>
    <xf numFmtId="0" fontId="0" fillId="0" borderId="0" xfId="54" applyFont="1">
      <alignment/>
    </xf>
    <xf numFmtId="2" fontId="0" fillId="0" borderId="0" xfId="54" applyNumberFormat="1" applyFont="1">
      <alignment/>
    </xf>
    <xf numFmtId="0" fontId="0" fillId="0" borderId="19" xfId="54" applyFont="1" applyFill="1" applyBorder="1" applyAlignment="1">
      <alignment horizontal="left" vertical="top" wrapText="1"/>
    </xf>
    <xf numFmtId="0" fontId="0" fillId="0" borderId="19" xfId="54" applyFont="1" applyFill="1" applyBorder="1" applyAlignment="1">
      <alignment horizontal="center" vertical="top" wrapText="1"/>
    </xf>
    <xf numFmtId="0" fontId="0" fillId="0" borderId="19" xfId="54" applyNumberFormat="1" applyFont="1" applyFill="1" applyBorder="1" applyAlignment="1">
      <alignment vertical="top" wrapText="1"/>
    </xf>
    <xf numFmtId="0" fontId="0" fillId="0" borderId="19" xfId="54" applyFont="1" applyFill="1" applyBorder="1" applyAlignment="1">
      <alignment vertical="top" wrapText="1"/>
    </xf>
    <xf numFmtId="1" fontId="0" fillId="0" borderId="20" xfId="54" applyNumberFormat="1" applyFont="1" applyFill="1" applyBorder="1" applyAlignment="1">
      <alignment vertical="top" wrapText="1"/>
    </xf>
    <xf numFmtId="0" fontId="24" fillId="0" borderId="19" xfId="54" applyFont="1" applyFill="1" applyBorder="1" applyAlignment="1">
      <alignment horizontal="center" vertical="top" wrapText="1"/>
    </xf>
    <xf numFmtId="0" fontId="24" fillId="0" borderId="0" xfId="54" applyFont="1" applyAlignment="1">
      <alignment vertical="top" wrapText="1"/>
    </xf>
    <xf numFmtId="0" fontId="0" fillId="0" borderId="0" xfId="54" applyFont="1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2" fontId="0" fillId="0" borderId="0" xfId="54" applyNumberFormat="1" applyFont="1">
      <alignment/>
    </xf>
    <xf numFmtId="165" fontId="24" fillId="0" borderId="19" xfId="54" applyNumberFormat="1" applyFont="1" applyFill="1" applyBorder="1" applyAlignment="1">
      <alignment vertical="top" wrapText="1"/>
    </xf>
    <xf numFmtId="0" fontId="0" fillId="0" borderId="19" xfId="54" applyFont="1" applyFill="1" applyBorder="1" applyAlignment="1">
      <alignment horizontal="right" vertical="top" wrapText="1"/>
    </xf>
    <xf numFmtId="2" fontId="0" fillId="0" borderId="19" xfId="54" applyNumberFormat="1" applyFont="1" applyFill="1" applyBorder="1" applyAlignment="1">
      <alignment horizontal="right" vertical="top" wrapText="1"/>
    </xf>
    <xf numFmtId="1" fontId="0" fillId="0" borderId="2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4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26" xfId="54" applyNumberFormat="1" applyFont="1" applyFill="1" applyBorder="1" applyAlignment="1">
      <alignment vertical="top" wrapText="1"/>
    </xf>
    <xf numFmtId="2" fontId="0" fillId="24" borderId="0" xfId="54" applyNumberFormat="1" applyFill="1">
      <alignment/>
    </xf>
    <xf numFmtId="0" fontId="0" fillId="24" borderId="0" xfId="54" applyFill="1">
      <alignment/>
    </xf>
    <xf numFmtId="0" fontId="0" fillId="0" borderId="19" xfId="54" applyNumberFormat="1" applyFont="1" applyFill="1" applyBorder="1" applyAlignment="1">
      <alignment horizontal="right" vertical="top" wrapText="1"/>
    </xf>
    <xf numFmtId="0" fontId="0" fillId="24" borderId="0" xfId="54" applyFont="1" applyFill="1">
      <alignment/>
    </xf>
    <xf numFmtId="2" fontId="0" fillId="24" borderId="0" xfId="54" applyNumberFormat="1" applyFont="1" applyFill="1">
      <alignment/>
    </xf>
    <xf numFmtId="0" fontId="24" fillId="24" borderId="0" xfId="54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/>
    </xf>
    <xf numFmtId="0" fontId="0" fillId="0" borderId="18" xfId="54" applyFont="1" applyBorder="1" applyAlignment="1">
      <alignment horizontal="center" vertical="top" wrapText="1"/>
    </xf>
    <xf numFmtId="16" fontId="0" fillId="0" borderId="19" xfId="54" applyNumberFormat="1" applyFont="1" applyBorder="1" applyAlignment="1">
      <alignment horizontal="center" vertical="top" wrapText="1"/>
    </xf>
    <xf numFmtId="0" fontId="0" fillId="0" borderId="19" xfId="54" applyFont="1" applyBorder="1" applyAlignment="1">
      <alignment vertical="top" wrapText="1"/>
    </xf>
    <xf numFmtId="0" fontId="0" fillId="0" borderId="19" xfId="54" applyFont="1" applyBorder="1" applyAlignment="1">
      <alignment horizontal="center" vertical="top" wrapText="1"/>
    </xf>
    <xf numFmtId="0" fontId="0" fillId="0" borderId="19" xfId="54" applyFont="1" applyBorder="1" applyAlignment="1">
      <alignment horizontal="right" vertical="top" wrapText="1"/>
    </xf>
    <xf numFmtId="0" fontId="0" fillId="0" borderId="19" xfId="54" applyNumberFormat="1" applyFont="1" applyBorder="1" applyAlignment="1">
      <alignment vertical="top" wrapText="1"/>
    </xf>
    <xf numFmtId="0" fontId="31" fillId="0" borderId="19" xfId="0" applyFont="1" applyBorder="1" applyAlignment="1">
      <alignment horizontal="center" vertical="top"/>
    </xf>
    <xf numFmtId="0" fontId="24" fillId="0" borderId="19" xfId="0" applyFont="1" applyBorder="1" applyAlignment="1">
      <alignment horizontal="right" vertical="top" wrapText="1"/>
    </xf>
    <xf numFmtId="1" fontId="0" fillId="0" borderId="20" xfId="0" applyNumberFormat="1" applyFont="1" applyBorder="1" applyAlignment="1">
      <alignment vertical="top" wrapText="1"/>
    </xf>
    <xf numFmtId="0" fontId="28" fillId="0" borderId="19" xfId="0" applyFont="1" applyBorder="1" applyAlignment="1">
      <alignment horizontal="center" vertical="top"/>
    </xf>
    <xf numFmtId="0" fontId="28" fillId="0" borderId="19" xfId="0" applyFont="1" applyBorder="1" applyAlignment="1">
      <alignment vertical="top"/>
    </xf>
    <xf numFmtId="1" fontId="28" fillId="0" borderId="20" xfId="0" applyNumberFormat="1" applyFont="1" applyBorder="1" applyAlignment="1">
      <alignment vertical="top"/>
    </xf>
    <xf numFmtId="9" fontId="28" fillId="0" borderId="19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1" fontId="0" fillId="0" borderId="26" xfId="0" applyNumberFormat="1" applyFont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2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top" wrapText="1"/>
    </xf>
    <xf numFmtId="0" fontId="0" fillId="0" borderId="0" xfId="54" applyFo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center"/>
    </xf>
    <xf numFmtId="0" fontId="0" fillId="0" borderId="12" xfId="53" applyFont="1" applyBorder="1" applyAlignment="1">
      <alignment horizontal="center" vertical="top" wrapText="1"/>
    </xf>
    <xf numFmtId="0" fontId="0" fillId="0" borderId="27" xfId="53" applyFont="1" applyBorder="1" applyAlignment="1">
      <alignment horizontal="center" vertical="top" wrapText="1"/>
    </xf>
    <xf numFmtId="0" fontId="0" fillId="0" borderId="13" xfId="53" applyFont="1" applyBorder="1" applyAlignment="1">
      <alignment horizontal="center" vertical="top" wrapText="1"/>
    </xf>
    <xf numFmtId="0" fontId="0" fillId="0" borderId="28" xfId="53" applyFont="1" applyBorder="1" applyAlignment="1">
      <alignment horizontal="center" vertical="top" wrapText="1"/>
    </xf>
    <xf numFmtId="0" fontId="0" fillId="0" borderId="13" xfId="53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53" applyFont="1" applyBorder="1" applyAlignment="1">
      <alignment horizontal="center"/>
    </xf>
    <xf numFmtId="0" fontId="0" fillId="0" borderId="30" xfId="53" applyFont="1" applyBorder="1" applyAlignment="1">
      <alignment horizontal="center"/>
    </xf>
    <xf numFmtId="0" fontId="0" fillId="0" borderId="31" xfId="53" applyFont="1" applyBorder="1" applyAlignment="1">
      <alignment horizontal="center"/>
    </xf>
    <xf numFmtId="0" fontId="23" fillId="0" borderId="0" xfId="54" applyFont="1" applyAlignment="1">
      <alignment horizontal="center" vertical="center" wrapText="1"/>
    </xf>
    <xf numFmtId="1" fontId="28" fillId="0" borderId="0" xfId="0" applyNumberFormat="1" applyFont="1" applyBorder="1" applyAlignment="1">
      <alignment vertical="top" wrapText="1"/>
    </xf>
    <xf numFmtId="0" fontId="0" fillId="25" borderId="19" xfId="0" applyFill="1" applyBorder="1" applyAlignment="1">
      <alignment horizontal="left" vertical="top" wrapText="1"/>
    </xf>
    <xf numFmtId="2" fontId="0" fillId="0" borderId="20" xfId="0" applyNumberFormat="1" applyFont="1" applyBorder="1" applyAlignment="1">
      <alignment horizontal="right" vertical="top" wrapText="1"/>
    </xf>
    <xf numFmtId="169" fontId="0" fillId="0" borderId="19" xfId="0" applyNumberFormat="1" applyFont="1" applyBorder="1" applyAlignment="1">
      <alignment horizontal="right" vertical="top" wrapText="1"/>
    </xf>
    <xf numFmtId="10" fontId="0" fillId="0" borderId="19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vertical="top"/>
    </xf>
    <xf numFmtId="2" fontId="0" fillId="0" borderId="19" xfId="0" applyNumberFormat="1" applyFont="1" applyBorder="1" applyAlignment="1">
      <alignment horizontal="right" vertical="top" wrapText="1"/>
    </xf>
    <xf numFmtId="2" fontId="0" fillId="0" borderId="20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 wrapText="1"/>
    </xf>
    <xf numFmtId="0" fontId="38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с суд-12" xfId="53"/>
    <cellStyle name="Обычный_Комс суд-1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 flipV="1">
          <a:off x="892492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УТВЕРЖДАЮ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Начальник управления Судебного департамента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Ивановской области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В.Д.Письменский</a:t>
          </a:r>
        </a:p>
      </xdr:txBody>
    </xdr:sp>
    <xdr:clientData/>
  </xdr:twoCellAnchor>
  <xdr:twoCellAnchor>
    <xdr:from>
      <xdr:col>7</xdr:col>
      <xdr:colOff>638175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H="1">
          <a:off x="752475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 flipV="1">
          <a:off x="892492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УТВЕРЖДАЮ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Начальник управления Судебного департамента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Ивановской области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В.Д.Письменский</a:t>
          </a:r>
        </a:p>
      </xdr:txBody>
    </xdr:sp>
    <xdr:clientData/>
  </xdr:twoCellAnchor>
  <xdr:twoCellAnchor>
    <xdr:from>
      <xdr:col>7</xdr:col>
      <xdr:colOff>638175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H="1">
          <a:off x="752475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8"/>
  <sheetViews>
    <sheetView view="pageBreakPreview" zoomScale="111" zoomScaleSheetLayoutView="111" zoomScalePageLayoutView="0" workbookViewId="0" topLeftCell="A499">
      <selection activeCell="J530" sqref="J530"/>
    </sheetView>
  </sheetViews>
  <sheetFormatPr defaultColWidth="9.00390625" defaultRowHeight="12.75"/>
  <cols>
    <col min="1" max="1" width="5.875" style="7" customWidth="1"/>
    <col min="2" max="2" width="13.625" style="7" customWidth="1"/>
    <col min="3" max="3" width="33.875" style="7" customWidth="1"/>
    <col min="4" max="4" width="9.125" style="7" customWidth="1"/>
    <col min="5" max="5" width="9.375" style="7" bestFit="1" customWidth="1"/>
    <col min="6" max="6" width="8.875" style="7" customWidth="1"/>
    <col min="7" max="7" width="9.625" style="7" customWidth="1"/>
    <col min="8" max="8" width="11.625" style="7" customWidth="1"/>
    <col min="9" max="9" width="9.375" style="7" bestFit="1" customWidth="1"/>
    <col min="10" max="10" width="11.125" style="7" customWidth="1"/>
    <col min="11" max="11" width="11.625" style="7" customWidth="1"/>
    <col min="12" max="12" width="11.375" style="7" customWidth="1"/>
    <col min="13" max="14" width="9.375" style="7" bestFit="1" customWidth="1"/>
    <col min="15" max="15" width="9.75390625" style="7" customWidth="1"/>
    <col min="16" max="16384" width="9.125" style="7" customWidth="1"/>
  </cols>
  <sheetData>
    <row r="1" spans="5:8" ht="12.75">
      <c r="E1" s="1"/>
      <c r="F1" s="385" t="s">
        <v>0</v>
      </c>
      <c r="G1" s="385"/>
      <c r="H1" s="385"/>
    </row>
    <row r="2" spans="5:8" ht="12.75">
      <c r="E2" s="386"/>
      <c r="F2" s="386"/>
      <c r="G2" s="386"/>
      <c r="H2" s="386"/>
    </row>
    <row r="3" spans="5:8" ht="26.25" customHeight="1">
      <c r="E3" s="386"/>
      <c r="F3" s="386"/>
      <c r="G3" s="386"/>
      <c r="H3" s="386"/>
    </row>
    <row r="4" ht="12.75">
      <c r="H4" s="2"/>
    </row>
    <row r="5" spans="5:7" ht="15">
      <c r="E5" s="385" t="s">
        <v>1</v>
      </c>
      <c r="F5" s="385"/>
      <c r="G5" s="3"/>
    </row>
    <row r="6" spans="1:8" ht="12.75">
      <c r="A6" s="4"/>
      <c r="B6" s="5"/>
      <c r="C6" s="6"/>
      <c r="D6" s="5"/>
      <c r="E6" s="5"/>
      <c r="F6" s="5"/>
      <c r="G6" s="4"/>
      <c r="H6" s="4"/>
    </row>
    <row r="7" spans="1:8" ht="12.75">
      <c r="A7" s="4"/>
      <c r="B7" s="5"/>
      <c r="C7" s="6"/>
      <c r="D7" s="5"/>
      <c r="E7" s="5"/>
      <c r="F7" s="5"/>
      <c r="G7" s="4"/>
      <c r="H7" s="4"/>
    </row>
    <row r="8" spans="1:8" ht="12.75">
      <c r="A8" s="4"/>
      <c r="B8" s="5"/>
      <c r="C8" s="6"/>
      <c r="D8" s="5"/>
      <c r="E8" s="5"/>
      <c r="F8" s="5"/>
      <c r="G8" s="4"/>
      <c r="H8" s="4"/>
    </row>
    <row r="9" spans="1:8" ht="12.75">
      <c r="A9" s="5"/>
      <c r="B9" s="5"/>
      <c r="C9" s="6"/>
      <c r="D9" s="5"/>
      <c r="E9" s="5"/>
      <c r="F9" s="5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5.75">
      <c r="A11" s="387" t="s">
        <v>2</v>
      </c>
      <c r="B11" s="387"/>
      <c r="C11" s="387"/>
      <c r="D11" s="387"/>
      <c r="E11" s="387"/>
      <c r="F11" s="387"/>
      <c r="G11" s="387"/>
      <c r="H11" s="387"/>
    </row>
    <row r="12" spans="1:8" ht="31.5" customHeight="1">
      <c r="A12" s="388" t="s">
        <v>3</v>
      </c>
      <c r="B12" s="388"/>
      <c r="C12" s="388"/>
      <c r="D12" s="388"/>
      <c r="E12" s="388"/>
      <c r="F12" s="388"/>
      <c r="G12" s="388"/>
      <c r="H12" s="388"/>
    </row>
    <row r="13" spans="1:8" ht="12.75">
      <c r="A13" s="389"/>
      <c r="B13" s="389"/>
      <c r="C13" s="389"/>
      <c r="D13" s="389"/>
      <c r="E13" s="389"/>
      <c r="F13" s="389"/>
      <c r="G13" s="389"/>
      <c r="H13" s="389"/>
    </row>
    <row r="14" spans="1:19" ht="12.75">
      <c r="A14" s="8" t="s">
        <v>4</v>
      </c>
      <c r="B14" s="8"/>
      <c r="C14" s="8"/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8" t="s">
        <v>5</v>
      </c>
      <c r="B15" s="8"/>
      <c r="C15" s="8"/>
      <c r="D15" s="10">
        <f>H530/1000</f>
        <v>463.3583376346962</v>
      </c>
      <c r="E15" s="8" t="s">
        <v>6</v>
      </c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8" t="s">
        <v>7</v>
      </c>
      <c r="B16" s="8"/>
      <c r="C16" s="8"/>
      <c r="D16" s="10">
        <f>H518/1000</f>
        <v>46.26359802678399</v>
      </c>
      <c r="E16" s="8" t="s">
        <v>6</v>
      </c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3.5" thickBot="1">
      <c r="A17" s="11" t="s">
        <v>367</v>
      </c>
      <c r="B17" s="8"/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4" ht="12.75">
      <c r="A18" s="390" t="s">
        <v>8</v>
      </c>
      <c r="B18" s="392" t="s">
        <v>9</v>
      </c>
      <c r="C18" s="394" t="s">
        <v>10</v>
      </c>
      <c r="D18" s="394" t="s">
        <v>11</v>
      </c>
      <c r="E18" s="396" t="s">
        <v>12</v>
      </c>
      <c r="F18" s="397"/>
      <c r="G18" s="396" t="s">
        <v>13</v>
      </c>
      <c r="H18" s="398"/>
      <c r="I18" s="12"/>
      <c r="J18" s="12"/>
      <c r="K18" s="12"/>
      <c r="L18" s="12"/>
      <c r="M18" s="12"/>
      <c r="N18" s="13"/>
    </row>
    <row r="19" spans="1:14" ht="13.5" thickBot="1">
      <c r="A19" s="391"/>
      <c r="B19" s="393"/>
      <c r="C19" s="395"/>
      <c r="D19" s="395"/>
      <c r="E19" s="14" t="s">
        <v>14</v>
      </c>
      <c r="F19" s="14" t="s">
        <v>15</v>
      </c>
      <c r="G19" s="14" t="s">
        <v>14</v>
      </c>
      <c r="H19" s="15" t="s">
        <v>15</v>
      </c>
      <c r="I19" s="13"/>
      <c r="J19" s="13"/>
      <c r="K19" s="13"/>
      <c r="L19" s="13"/>
      <c r="M19" s="13"/>
      <c r="N19" s="13"/>
    </row>
    <row r="20" spans="1:14" ht="13.5" thickBot="1">
      <c r="A20" s="16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8">
        <v>8</v>
      </c>
      <c r="I20" s="13"/>
      <c r="J20" s="13"/>
      <c r="K20" s="13"/>
      <c r="L20" s="13"/>
      <c r="M20" s="13"/>
      <c r="N20" s="13"/>
    </row>
    <row r="21" spans="1:14" ht="13.5" thickBot="1">
      <c r="A21" s="300"/>
      <c r="B21" s="301"/>
      <c r="C21" s="302" t="s">
        <v>366</v>
      </c>
      <c r="D21" s="301"/>
      <c r="E21" s="303"/>
      <c r="F21" s="304"/>
      <c r="G21" s="304"/>
      <c r="H21" s="305"/>
      <c r="I21" s="13"/>
      <c r="J21" s="13"/>
      <c r="K21" s="13"/>
      <c r="L21" s="13"/>
      <c r="M21" s="13"/>
      <c r="N21" s="13"/>
    </row>
    <row r="22" spans="1:14" s="27" customFormat="1" ht="63.75">
      <c r="A22" s="19">
        <v>1</v>
      </c>
      <c r="B22" s="20" t="s">
        <v>16</v>
      </c>
      <c r="C22" s="21" t="s">
        <v>17</v>
      </c>
      <c r="D22" s="20" t="s">
        <v>359</v>
      </c>
      <c r="E22" s="22"/>
      <c r="F22" s="23">
        <v>0.014</v>
      </c>
      <c r="G22" s="24"/>
      <c r="H22" s="25"/>
      <c r="I22" s="26"/>
      <c r="N22" s="28"/>
    </row>
    <row r="23" spans="1:22" s="13" customFormat="1" ht="12.75" customHeight="1">
      <c r="A23" s="29"/>
      <c r="B23" s="30"/>
      <c r="C23" s="31" t="s">
        <v>18</v>
      </c>
      <c r="D23" s="32"/>
      <c r="E23" s="33">
        <f>0.94*79%</f>
        <v>0.7426</v>
      </c>
      <c r="F23" s="34"/>
      <c r="G23" s="35"/>
      <c r="H23" s="36"/>
      <c r="I23" s="37"/>
      <c r="J23" s="1"/>
      <c r="K23" s="1"/>
      <c r="L23" s="37"/>
      <c r="M23" s="1"/>
      <c r="N23" s="1"/>
      <c r="O23"/>
      <c r="R23"/>
      <c r="S23"/>
      <c r="T23"/>
      <c r="U23"/>
      <c r="V23"/>
    </row>
    <row r="24" spans="1:22" s="13" customFormat="1" ht="12.75">
      <c r="A24" s="29"/>
      <c r="B24" s="32"/>
      <c r="C24" s="31" t="s">
        <v>19</v>
      </c>
      <c r="D24" s="38"/>
      <c r="E24" s="39">
        <v>0.5</v>
      </c>
      <c r="F24" s="34"/>
      <c r="G24" s="35"/>
      <c r="H24" s="40"/>
      <c r="I24" s="41"/>
      <c r="J24" s="41"/>
      <c r="K24" s="4"/>
      <c r="L24" s="4"/>
      <c r="M24" s="4"/>
      <c r="N24" s="42"/>
      <c r="O24" s="43">
        <f>SUM(H25:H27)*E24</f>
        <v>153.73736559999998</v>
      </c>
      <c r="R24"/>
      <c r="S24"/>
      <c r="T24"/>
      <c r="U24"/>
      <c r="V24"/>
    </row>
    <row r="25" spans="1:14" s="27" customFormat="1" ht="12.75">
      <c r="A25" s="44"/>
      <c r="B25" s="32">
        <v>1</v>
      </c>
      <c r="C25" s="31" t="s">
        <v>20</v>
      </c>
      <c r="D25" s="32" t="s">
        <v>21</v>
      </c>
      <c r="E25" s="45">
        <v>290.27</v>
      </c>
      <c r="F25" s="46">
        <f>E25*F22</f>
        <v>4.0637799999999995</v>
      </c>
      <c r="G25" s="46">
        <v>75.44</v>
      </c>
      <c r="H25" s="36">
        <f>PRODUCT(F25,G25)</f>
        <v>306.57156319999996</v>
      </c>
      <c r="I25" s="41"/>
      <c r="J25" s="41"/>
      <c r="K25" s="4"/>
      <c r="L25" s="43">
        <f>SUM(H25)</f>
        <v>306.57156319999996</v>
      </c>
      <c r="M25" s="4"/>
      <c r="N25" s="47"/>
    </row>
    <row r="26" spans="1:14" s="27" customFormat="1" ht="12.75">
      <c r="A26" s="44"/>
      <c r="B26" s="48"/>
      <c r="C26" s="31" t="s">
        <v>22</v>
      </c>
      <c r="D26" s="32"/>
      <c r="E26" s="45">
        <v>3.4</v>
      </c>
      <c r="F26" s="46"/>
      <c r="G26" s="46"/>
      <c r="H26" s="36"/>
      <c r="I26" s="7"/>
      <c r="J26" s="7"/>
      <c r="K26" s="43">
        <f>SUM(H25:H27)*E23</f>
        <v>228.33073538911998</v>
      </c>
      <c r="L26" s="4"/>
      <c r="M26" s="4"/>
      <c r="N26" s="47"/>
    </row>
    <row r="27" spans="1:14" s="27" customFormat="1" ht="12.75">
      <c r="A27" s="44"/>
      <c r="B27" s="32">
        <v>2</v>
      </c>
      <c r="C27" s="31" t="s">
        <v>23</v>
      </c>
      <c r="D27" s="32" t="s">
        <v>21</v>
      </c>
      <c r="E27" s="45">
        <v>0.72</v>
      </c>
      <c r="F27" s="46">
        <f>E27*F22</f>
        <v>0.01008</v>
      </c>
      <c r="G27" s="34">
        <v>89.6</v>
      </c>
      <c r="H27" s="36">
        <f>PRODUCT(F27,G27)</f>
        <v>0.903168</v>
      </c>
      <c r="I27" s="7"/>
      <c r="J27" s="7"/>
      <c r="K27" s="4"/>
      <c r="L27" s="4"/>
      <c r="M27" s="43">
        <f>SUM(H27)</f>
        <v>0.903168</v>
      </c>
      <c r="N27" s="47"/>
    </row>
    <row r="28" spans="1:14" s="27" customFormat="1" ht="12.75">
      <c r="A28" s="44"/>
      <c r="B28" s="32">
        <v>3</v>
      </c>
      <c r="C28" s="31" t="s">
        <v>24</v>
      </c>
      <c r="D28" s="32"/>
      <c r="E28" s="45"/>
      <c r="F28" s="46"/>
      <c r="G28" s="34"/>
      <c r="H28" s="36"/>
      <c r="I28" s="49">
        <f>SUM(H29)</f>
        <v>2.4401664000000003</v>
      </c>
      <c r="K28" s="47"/>
      <c r="L28" s="47"/>
      <c r="M28" s="50"/>
      <c r="N28" s="47"/>
    </row>
    <row r="29" spans="1:15" s="27" customFormat="1" ht="12.75">
      <c r="A29" s="44"/>
      <c r="B29" s="32">
        <v>31121</v>
      </c>
      <c r="C29" s="31" t="s">
        <v>25</v>
      </c>
      <c r="D29" s="32" t="s">
        <v>26</v>
      </c>
      <c r="E29" s="45">
        <v>0.72</v>
      </c>
      <c r="F29" s="46">
        <f>E29*F22</f>
        <v>0.01008</v>
      </c>
      <c r="G29" s="46">
        <v>242.08</v>
      </c>
      <c r="H29" s="36">
        <f>PRODUCT(F29,G29)</f>
        <v>2.4401664000000003</v>
      </c>
      <c r="I29" s="26"/>
      <c r="O29" s="51"/>
    </row>
    <row r="30" spans="1:15" s="27" customFormat="1" ht="12.75">
      <c r="A30" s="44"/>
      <c r="B30" s="32">
        <v>4</v>
      </c>
      <c r="C30" s="31" t="s">
        <v>27</v>
      </c>
      <c r="D30" s="32"/>
      <c r="E30" s="45"/>
      <c r="F30" s="46"/>
      <c r="G30" s="46"/>
      <c r="H30" s="36"/>
      <c r="J30" s="49">
        <f>SUM(H31:H33)</f>
        <v>99.5648346</v>
      </c>
      <c r="O30" s="51"/>
    </row>
    <row r="31" spans="1:15" s="27" customFormat="1" ht="25.5">
      <c r="A31" s="44"/>
      <c r="B31" s="32" t="s">
        <v>28</v>
      </c>
      <c r="C31" s="31" t="s">
        <v>29</v>
      </c>
      <c r="D31" s="32" t="s">
        <v>30</v>
      </c>
      <c r="E31" s="45">
        <v>2.31</v>
      </c>
      <c r="F31" s="46">
        <f>E31*F22</f>
        <v>0.03234</v>
      </c>
      <c r="G31" s="46">
        <v>3078.69</v>
      </c>
      <c r="H31" s="36">
        <f>PRODUCT(F31,G31)</f>
        <v>99.5648346</v>
      </c>
      <c r="O31" s="51"/>
    </row>
    <row r="32" spans="1:15" s="27" customFormat="1" ht="12.75">
      <c r="A32" s="44"/>
      <c r="B32" s="32" t="s">
        <v>31</v>
      </c>
      <c r="C32" s="31" t="s">
        <v>32</v>
      </c>
      <c r="D32" s="32" t="s">
        <v>30</v>
      </c>
      <c r="E32" s="45">
        <v>0.35</v>
      </c>
      <c r="F32" s="46">
        <f>E32*F22</f>
        <v>0.0049</v>
      </c>
      <c r="G32" s="46">
        <v>0</v>
      </c>
      <c r="H32" s="36">
        <f>PRODUCT(F32,G32)</f>
        <v>0</v>
      </c>
      <c r="J32" s="26"/>
      <c r="O32" s="51"/>
    </row>
    <row r="33" spans="1:15" s="27" customFormat="1" ht="12.75">
      <c r="A33" s="44"/>
      <c r="B33" s="32" t="s">
        <v>33</v>
      </c>
      <c r="C33" s="31" t="s">
        <v>34</v>
      </c>
      <c r="D33" s="32" t="s">
        <v>35</v>
      </c>
      <c r="E33" s="45">
        <v>3.38</v>
      </c>
      <c r="F33" s="46">
        <f>E33*F22</f>
        <v>0.04732</v>
      </c>
      <c r="G33" s="46">
        <v>0</v>
      </c>
      <c r="H33" s="36">
        <f>PRODUCT(F33,G33)</f>
        <v>0</v>
      </c>
      <c r="N33" s="27">
        <f>F33</f>
        <v>0.04732</v>
      </c>
      <c r="O33" s="51"/>
    </row>
    <row r="34" spans="1:16" ht="25.5">
      <c r="A34" s="52">
        <v>2</v>
      </c>
      <c r="B34" s="53" t="s">
        <v>36</v>
      </c>
      <c r="C34" s="54" t="s">
        <v>37</v>
      </c>
      <c r="D34" s="38" t="s">
        <v>359</v>
      </c>
      <c r="E34" s="55"/>
      <c r="F34" s="56">
        <v>0.29</v>
      </c>
      <c r="G34" s="57"/>
      <c r="H34" s="36"/>
      <c r="P34"/>
    </row>
    <row r="35" spans="1:16" s="13" customFormat="1" ht="12.75">
      <c r="A35" s="58"/>
      <c r="B35" s="30" t="s">
        <v>38</v>
      </c>
      <c r="C35" s="31" t="s">
        <v>18</v>
      </c>
      <c r="D35" s="32"/>
      <c r="E35" s="33">
        <f>0.94*106.2%</f>
        <v>0.99828</v>
      </c>
      <c r="F35" s="59"/>
      <c r="G35" s="60"/>
      <c r="H35" s="61"/>
      <c r="I35" s="62"/>
      <c r="J35" s="62"/>
      <c r="K35" s="62"/>
      <c r="L35" s="62"/>
      <c r="M35" s="62"/>
      <c r="N35" s="62"/>
      <c r="O35" s="62"/>
      <c r="P35" s="62"/>
    </row>
    <row r="36" spans="1:16" s="13" customFormat="1" ht="12.75">
      <c r="A36" s="58"/>
      <c r="B36" s="32" t="s">
        <v>39</v>
      </c>
      <c r="C36" s="31" t="s">
        <v>19</v>
      </c>
      <c r="D36" s="38"/>
      <c r="E36" s="33">
        <v>0.5355</v>
      </c>
      <c r="F36" s="63"/>
      <c r="G36" s="46"/>
      <c r="H36" s="40"/>
      <c r="I36" s="41"/>
      <c r="J36" s="41"/>
      <c r="K36" s="4"/>
      <c r="L36" s="4"/>
      <c r="M36" s="4"/>
      <c r="N36" s="42"/>
      <c r="O36" s="43">
        <f>SUM(H37:H39)*E36</f>
        <v>1719.3965786549995</v>
      </c>
      <c r="P36" s="62"/>
    </row>
    <row r="37" spans="1:16" ht="12.75">
      <c r="A37" s="64"/>
      <c r="B37" s="65">
        <v>1</v>
      </c>
      <c r="C37" s="66" t="s">
        <v>20</v>
      </c>
      <c r="D37" s="65" t="s">
        <v>21</v>
      </c>
      <c r="E37" s="67">
        <f>1.15*1.2*105</f>
        <v>144.89999999999998</v>
      </c>
      <c r="F37" s="66">
        <f>E37*F34</f>
        <v>42.020999999999994</v>
      </c>
      <c r="G37" s="34">
        <v>76.41</v>
      </c>
      <c r="H37" s="68">
        <f>PRODUCT(F37,G37)</f>
        <v>3210.824609999999</v>
      </c>
      <c r="I37" s="41"/>
      <c r="J37" s="41"/>
      <c r="K37" s="4"/>
      <c r="L37" s="43">
        <f>SUM(H37)</f>
        <v>3210.824609999999</v>
      </c>
      <c r="P37"/>
    </row>
    <row r="38" spans="1:16" ht="12.75">
      <c r="A38" s="64"/>
      <c r="B38" s="69"/>
      <c r="C38" s="70" t="s">
        <v>22</v>
      </c>
      <c r="D38" s="71"/>
      <c r="E38" s="57">
        <v>3.5</v>
      </c>
      <c r="F38" s="66"/>
      <c r="G38" s="66"/>
      <c r="H38" s="72"/>
      <c r="K38" s="43">
        <f>SUM(H37:H39)*E35</f>
        <v>3205.301991670799</v>
      </c>
      <c r="L38" s="4"/>
      <c r="M38" s="4"/>
      <c r="N38" s="42"/>
      <c r="O38" s="43"/>
      <c r="P38"/>
    </row>
    <row r="39" spans="1:9" ht="12.75">
      <c r="A39" s="73"/>
      <c r="B39" s="65">
        <v>3</v>
      </c>
      <c r="C39" s="66" t="s">
        <v>24</v>
      </c>
      <c r="D39" s="65"/>
      <c r="E39" s="67"/>
      <c r="F39" s="74"/>
      <c r="G39" s="75"/>
      <c r="H39" s="76"/>
      <c r="I39" s="77">
        <f>SUM(H40:H42)</f>
        <v>21.9516225</v>
      </c>
    </row>
    <row r="40" spans="1:8" ht="12.75">
      <c r="A40" s="78"/>
      <c r="B40" s="65">
        <v>330208</v>
      </c>
      <c r="C40" s="66" t="s">
        <v>40</v>
      </c>
      <c r="D40" s="79" t="s">
        <v>26</v>
      </c>
      <c r="E40" s="80">
        <f>1.25*1.2*2.9</f>
        <v>4.35</v>
      </c>
      <c r="F40" s="66">
        <f>E40*F34</f>
        <v>1.2614999999999998</v>
      </c>
      <c r="G40" s="66">
        <v>11.01</v>
      </c>
      <c r="H40" s="68">
        <f>PRODUCT(F40,G40)</f>
        <v>13.889114999999999</v>
      </c>
    </row>
    <row r="41" spans="1:15" ht="12.75">
      <c r="A41" s="78"/>
      <c r="B41" s="65">
        <v>330901</v>
      </c>
      <c r="C41" s="81" t="s">
        <v>41</v>
      </c>
      <c r="D41" s="65" t="s">
        <v>26</v>
      </c>
      <c r="E41" s="82">
        <f>1.25*1.2*0.25</f>
        <v>0.375</v>
      </c>
      <c r="F41" s="66">
        <f>E41*F34</f>
        <v>0.10874999999999999</v>
      </c>
      <c r="G41" s="67">
        <v>18.03</v>
      </c>
      <c r="H41" s="68">
        <f>PRODUCT(F41,G41)</f>
        <v>1.9607625</v>
      </c>
      <c r="I41" s="83"/>
      <c r="J41" s="83"/>
      <c r="K41" s="83"/>
      <c r="L41" s="84"/>
      <c r="M41" s="83"/>
      <c r="N41" s="83"/>
      <c r="O41" s="37"/>
    </row>
    <row r="42" spans="1:15" ht="12.75">
      <c r="A42" s="78"/>
      <c r="B42" s="65">
        <v>331451</v>
      </c>
      <c r="C42" s="81" t="s">
        <v>42</v>
      </c>
      <c r="D42" s="65" t="s">
        <v>26</v>
      </c>
      <c r="E42" s="82">
        <f>1.25*1.2*1.3</f>
        <v>1.9500000000000002</v>
      </c>
      <c r="F42" s="66">
        <f>E42*F34</f>
        <v>0.5655</v>
      </c>
      <c r="G42" s="67">
        <v>10.79</v>
      </c>
      <c r="H42" s="68">
        <f>PRODUCT(F42,G42)</f>
        <v>6.101744999999999</v>
      </c>
      <c r="I42" s="83"/>
      <c r="J42" s="83"/>
      <c r="K42" s="83"/>
      <c r="L42" s="84"/>
      <c r="M42" s="83"/>
      <c r="N42" s="83"/>
      <c r="O42" s="37"/>
    </row>
    <row r="43" spans="1:15" ht="12.75">
      <c r="A43" s="78"/>
      <c r="B43" s="65">
        <v>4</v>
      </c>
      <c r="C43" s="81" t="s">
        <v>27</v>
      </c>
      <c r="D43" s="65"/>
      <c r="E43" s="82"/>
      <c r="F43" s="66"/>
      <c r="G43" s="67"/>
      <c r="H43" s="36"/>
      <c r="I43" s="83"/>
      <c r="J43" s="85">
        <f>SUM(H44:H59)</f>
        <v>10604.952000000001</v>
      </c>
      <c r="K43" s="83"/>
      <c r="L43" s="84"/>
      <c r="M43" s="83"/>
      <c r="N43" s="83"/>
      <c r="O43" s="37"/>
    </row>
    <row r="44" spans="1:15" ht="12.75">
      <c r="A44" s="78"/>
      <c r="B44" s="65" t="s">
        <v>43</v>
      </c>
      <c r="C44" s="81" t="s">
        <v>44</v>
      </c>
      <c r="D44" s="65" t="s">
        <v>45</v>
      </c>
      <c r="E44" s="82">
        <v>285</v>
      </c>
      <c r="F44" s="66">
        <f>E44*F34</f>
        <v>82.64999999999999</v>
      </c>
      <c r="G44" s="67">
        <v>27</v>
      </c>
      <c r="H44" s="68">
        <f aca="true" t="shared" si="0" ref="H44:H59">PRODUCT(F44,G44)</f>
        <v>2231.5499999999997</v>
      </c>
      <c r="I44" s="83"/>
      <c r="J44" s="83"/>
      <c r="K44" s="83"/>
      <c r="L44" s="84"/>
      <c r="M44" s="83"/>
      <c r="N44" s="83"/>
      <c r="O44" s="37"/>
    </row>
    <row r="45" spans="1:15" ht="12.75">
      <c r="A45" s="78"/>
      <c r="B45" s="65" t="s">
        <v>46</v>
      </c>
      <c r="C45" s="81" t="s">
        <v>47</v>
      </c>
      <c r="D45" s="65" t="s">
        <v>45</v>
      </c>
      <c r="E45" s="82">
        <v>136</v>
      </c>
      <c r="F45" s="66">
        <f>E45*F34</f>
        <v>39.44</v>
      </c>
      <c r="G45" s="67">
        <v>25</v>
      </c>
      <c r="H45" s="68">
        <f t="shared" si="0"/>
        <v>986</v>
      </c>
      <c r="I45" s="83"/>
      <c r="J45" s="83"/>
      <c r="K45" s="83"/>
      <c r="L45" s="84"/>
      <c r="M45" s="83"/>
      <c r="N45" s="83"/>
      <c r="O45" s="37"/>
    </row>
    <row r="46" spans="1:15" ht="12.75">
      <c r="A46" s="78"/>
      <c r="B46" s="65" t="s">
        <v>48</v>
      </c>
      <c r="C46" s="81" t="s">
        <v>49</v>
      </c>
      <c r="D46" s="65" t="s">
        <v>50</v>
      </c>
      <c r="E46" s="82">
        <v>54</v>
      </c>
      <c r="F46" s="66">
        <f>E46*F34</f>
        <v>15.659999999999998</v>
      </c>
      <c r="G46" s="67">
        <v>4.5</v>
      </c>
      <c r="H46" s="68">
        <f t="shared" si="0"/>
        <v>70.47</v>
      </c>
      <c r="I46" s="83"/>
      <c r="J46" s="83"/>
      <c r="K46" s="83"/>
      <c r="L46" s="84"/>
      <c r="M46" s="83"/>
      <c r="N46" s="83"/>
      <c r="O46" s="37"/>
    </row>
    <row r="47" spans="1:11" ht="12.75">
      <c r="A47" s="78"/>
      <c r="B47" s="65" t="s">
        <v>51</v>
      </c>
      <c r="C47" s="66" t="s">
        <v>52</v>
      </c>
      <c r="D47" s="65" t="s">
        <v>50</v>
      </c>
      <c r="E47" s="67">
        <v>159</v>
      </c>
      <c r="F47" s="66">
        <f>E47*F34</f>
        <v>46.11</v>
      </c>
      <c r="G47" s="75">
        <v>6.8</v>
      </c>
      <c r="H47" s="68">
        <f t="shared" si="0"/>
        <v>313.548</v>
      </c>
      <c r="J47" s="77"/>
      <c r="K47" s="86"/>
    </row>
    <row r="48" spans="1:14" ht="12.75">
      <c r="A48" s="78"/>
      <c r="B48" s="65" t="s">
        <v>53</v>
      </c>
      <c r="C48" s="66" t="s">
        <v>54</v>
      </c>
      <c r="D48" s="65" t="s">
        <v>50</v>
      </c>
      <c r="E48" s="67">
        <v>67</v>
      </c>
      <c r="F48" s="66">
        <f>E48*F34</f>
        <v>19.43</v>
      </c>
      <c r="G48" s="67">
        <v>12</v>
      </c>
      <c r="H48" s="68">
        <f t="shared" si="0"/>
        <v>233.16</v>
      </c>
      <c r="M48" s="86"/>
      <c r="N48" s="86"/>
    </row>
    <row r="49" spans="1:8" ht="12.75">
      <c r="A49" s="78"/>
      <c r="B49" s="65" t="s">
        <v>55</v>
      </c>
      <c r="C49" s="66" t="s">
        <v>56</v>
      </c>
      <c r="D49" s="65" t="s">
        <v>50</v>
      </c>
      <c r="E49" s="67">
        <v>67</v>
      </c>
      <c r="F49" s="66">
        <f>E49*F34</f>
        <v>19.43</v>
      </c>
      <c r="G49" s="75">
        <v>6.3</v>
      </c>
      <c r="H49" s="68">
        <f t="shared" si="0"/>
        <v>122.40899999999999</v>
      </c>
    </row>
    <row r="50" spans="1:8" ht="12.75">
      <c r="A50" s="78"/>
      <c r="B50" s="65" t="s">
        <v>57</v>
      </c>
      <c r="C50" s="66" t="s">
        <v>58</v>
      </c>
      <c r="D50" s="65" t="s">
        <v>50</v>
      </c>
      <c r="E50" s="67">
        <v>67</v>
      </c>
      <c r="F50" s="66">
        <f>E50*F34</f>
        <v>19.43</v>
      </c>
      <c r="G50" s="75">
        <v>5.6</v>
      </c>
      <c r="H50" s="68">
        <f t="shared" si="0"/>
        <v>108.80799999999999</v>
      </c>
    </row>
    <row r="51" spans="1:8" ht="12.75">
      <c r="A51" s="78"/>
      <c r="B51" s="65" t="s">
        <v>59</v>
      </c>
      <c r="C51" s="66" t="s">
        <v>60</v>
      </c>
      <c r="D51" s="65" t="s">
        <v>50</v>
      </c>
      <c r="E51" s="67">
        <v>322</v>
      </c>
      <c r="F51" s="66">
        <f>E51*F34</f>
        <v>93.38</v>
      </c>
      <c r="G51" s="66">
        <v>1.4</v>
      </c>
      <c r="H51" s="68">
        <f t="shared" si="0"/>
        <v>130.732</v>
      </c>
    </row>
    <row r="52" spans="1:8" ht="12.75">
      <c r="A52" s="78"/>
      <c r="B52" s="65" t="s">
        <v>61</v>
      </c>
      <c r="C52" s="66" t="s">
        <v>62</v>
      </c>
      <c r="D52" s="65" t="s">
        <v>63</v>
      </c>
      <c r="E52" s="67">
        <v>111</v>
      </c>
      <c r="F52" s="66">
        <f>E52*F34</f>
        <v>32.19</v>
      </c>
      <c r="G52" s="67">
        <v>158</v>
      </c>
      <c r="H52" s="68">
        <f t="shared" si="0"/>
        <v>5086.0199999999995</v>
      </c>
    </row>
    <row r="53" spans="1:8" ht="12.75">
      <c r="A53" s="78"/>
      <c r="B53" s="65" t="s">
        <v>64</v>
      </c>
      <c r="C53" s="66" t="s">
        <v>65</v>
      </c>
      <c r="D53" s="65" t="s">
        <v>45</v>
      </c>
      <c r="E53" s="67">
        <v>135</v>
      </c>
      <c r="F53" s="66">
        <f>E53*F34</f>
        <v>39.15</v>
      </c>
      <c r="G53" s="75">
        <v>9</v>
      </c>
      <c r="H53" s="68">
        <f t="shared" si="0"/>
        <v>352.34999999999997</v>
      </c>
    </row>
    <row r="54" spans="1:8" ht="12.75">
      <c r="A54" s="78"/>
      <c r="B54" s="65" t="s">
        <v>66</v>
      </c>
      <c r="C54" s="66" t="s">
        <v>67</v>
      </c>
      <c r="D54" s="65" t="s">
        <v>50</v>
      </c>
      <c r="E54" s="67">
        <v>368</v>
      </c>
      <c r="F54" s="66">
        <f>E54*F34</f>
        <v>106.72</v>
      </c>
      <c r="G54" s="75">
        <v>0.15</v>
      </c>
      <c r="H54" s="68">
        <f t="shared" si="0"/>
        <v>16.008</v>
      </c>
    </row>
    <row r="55" spans="1:8" ht="12.75">
      <c r="A55" s="73"/>
      <c r="B55" s="65" t="s">
        <v>68</v>
      </c>
      <c r="C55" s="66" t="s">
        <v>69</v>
      </c>
      <c r="D55" s="65" t="s">
        <v>50</v>
      </c>
      <c r="E55" s="67">
        <v>3132</v>
      </c>
      <c r="F55" s="66">
        <f>E55*F34</f>
        <v>908.28</v>
      </c>
      <c r="G55" s="75">
        <v>0.3</v>
      </c>
      <c r="H55" s="68">
        <f t="shared" si="0"/>
        <v>272.484</v>
      </c>
    </row>
    <row r="56" spans="1:11" ht="12.75">
      <c r="A56" s="73"/>
      <c r="B56" s="65" t="s">
        <v>70</v>
      </c>
      <c r="C56" s="87" t="s">
        <v>71</v>
      </c>
      <c r="D56" s="65" t="s">
        <v>72</v>
      </c>
      <c r="E56" s="67">
        <v>56</v>
      </c>
      <c r="F56" s="66">
        <f>E56*F34</f>
        <v>16.24</v>
      </c>
      <c r="G56" s="88">
        <v>11.3</v>
      </c>
      <c r="H56" s="68">
        <f t="shared" si="0"/>
        <v>183.512</v>
      </c>
      <c r="K56" s="86"/>
    </row>
    <row r="57" spans="1:13" ht="12.75">
      <c r="A57" s="73"/>
      <c r="B57" s="65" t="s">
        <v>73</v>
      </c>
      <c r="C57" s="66" t="s">
        <v>74</v>
      </c>
      <c r="D57" s="79" t="s">
        <v>45</v>
      </c>
      <c r="E57" s="80">
        <v>123</v>
      </c>
      <c r="F57" s="66">
        <f>E57*F34</f>
        <v>35.669999999999995</v>
      </c>
      <c r="G57" s="66">
        <v>3</v>
      </c>
      <c r="H57" s="68">
        <f t="shared" si="0"/>
        <v>107.00999999999999</v>
      </c>
      <c r="M57" s="86"/>
    </row>
    <row r="58" spans="1:15" ht="12.75">
      <c r="A58" s="73"/>
      <c r="B58" s="65" t="s">
        <v>75</v>
      </c>
      <c r="C58" s="81" t="s">
        <v>76</v>
      </c>
      <c r="D58" s="65" t="s">
        <v>45</v>
      </c>
      <c r="E58" s="82">
        <v>135</v>
      </c>
      <c r="F58" s="66">
        <f>E58*F34</f>
        <v>39.15</v>
      </c>
      <c r="G58" s="67">
        <v>6</v>
      </c>
      <c r="H58" s="68">
        <f t="shared" si="0"/>
        <v>234.89999999999998</v>
      </c>
      <c r="I58" s="83"/>
      <c r="J58" s="83"/>
      <c r="K58" s="83"/>
      <c r="L58" s="84"/>
      <c r="M58" s="83"/>
      <c r="N58" s="83"/>
      <c r="O58" s="37"/>
    </row>
    <row r="59" spans="1:12" ht="12.75">
      <c r="A59" s="73"/>
      <c r="B59" s="65" t="s">
        <v>77</v>
      </c>
      <c r="C59" s="66" t="s">
        <v>78</v>
      </c>
      <c r="D59" s="65" t="s">
        <v>72</v>
      </c>
      <c r="E59" s="67">
        <v>11</v>
      </c>
      <c r="F59" s="66">
        <f>E59*F34</f>
        <v>3.19</v>
      </c>
      <c r="G59" s="75">
        <v>48.9</v>
      </c>
      <c r="H59" s="68">
        <f t="shared" si="0"/>
        <v>155.99099999999999</v>
      </c>
      <c r="L59" s="86"/>
    </row>
    <row r="60" spans="1:16" s="27" customFormat="1" ht="51">
      <c r="A60" s="89">
        <v>3</v>
      </c>
      <c r="B60" s="53" t="s">
        <v>79</v>
      </c>
      <c r="C60" s="54" t="s">
        <v>80</v>
      </c>
      <c r="D60" s="90" t="s">
        <v>81</v>
      </c>
      <c r="E60" s="55"/>
      <c r="F60" s="91">
        <f>F34+F11</f>
        <v>0.29</v>
      </c>
      <c r="G60" s="57"/>
      <c r="H60" s="76"/>
      <c r="I60" s="1"/>
      <c r="J60" s="1"/>
      <c r="K60" s="1"/>
      <c r="L60" s="37"/>
      <c r="M60" s="1"/>
      <c r="N60" s="1"/>
      <c r="O60"/>
      <c r="P60" s="7"/>
    </row>
    <row r="61" spans="1:16" s="27" customFormat="1" ht="12.75">
      <c r="A61" s="92"/>
      <c r="B61" s="30" t="s">
        <v>38</v>
      </c>
      <c r="C61" s="31" t="s">
        <v>18</v>
      </c>
      <c r="D61" s="32"/>
      <c r="E61" s="93">
        <f>94.5%*0.94</f>
        <v>0.8882999999999999</v>
      </c>
      <c r="F61" s="34"/>
      <c r="G61" s="34"/>
      <c r="H61" s="36"/>
      <c r="I61" s="37"/>
      <c r="J61" s="1"/>
      <c r="K61" s="1"/>
      <c r="L61" s="37"/>
      <c r="M61" s="1"/>
      <c r="N61" s="1"/>
      <c r="O61"/>
      <c r="P61" s="7"/>
    </row>
    <row r="62" spans="1:16" s="27" customFormat="1" ht="12.75">
      <c r="A62" s="92"/>
      <c r="B62" s="32" t="s">
        <v>39</v>
      </c>
      <c r="C62" s="31" t="s">
        <v>19</v>
      </c>
      <c r="D62" s="38"/>
      <c r="E62" s="93">
        <v>0.4675</v>
      </c>
      <c r="F62" s="34"/>
      <c r="G62" s="34"/>
      <c r="H62" s="40"/>
      <c r="I62" s="41"/>
      <c r="J62" s="41"/>
      <c r="K62" s="4"/>
      <c r="L62" s="4"/>
      <c r="M62" s="4"/>
      <c r="N62" s="42"/>
      <c r="O62" s="43">
        <f>SUM(H63:H65)*E62</f>
        <v>303.8389671009</v>
      </c>
      <c r="P62" s="7"/>
    </row>
    <row r="63" spans="1:16" s="27" customFormat="1" ht="12.75">
      <c r="A63" s="29"/>
      <c r="B63" s="94">
        <v>1</v>
      </c>
      <c r="C63" s="95" t="s">
        <v>20</v>
      </c>
      <c r="D63" s="94" t="s">
        <v>21</v>
      </c>
      <c r="E63" s="55">
        <f>1.2*1.15*20.02</f>
        <v>27.627599999999997</v>
      </c>
      <c r="F63" s="34">
        <f>PRODUCT(F60,E63)</f>
        <v>8.012004</v>
      </c>
      <c r="G63" s="46">
        <v>81.07</v>
      </c>
      <c r="H63" s="36">
        <f>PRODUCT(F63,G63)</f>
        <v>649.5331642799999</v>
      </c>
      <c r="I63" s="41"/>
      <c r="J63" s="41"/>
      <c r="K63" s="4"/>
      <c r="L63" s="43">
        <f>SUM(H63)</f>
        <v>649.5331642799999</v>
      </c>
      <c r="M63" s="4"/>
      <c r="N63" s="4"/>
      <c r="O63" s="7"/>
      <c r="P63"/>
    </row>
    <row r="64" spans="1:16" s="27" customFormat="1" ht="12.75">
      <c r="A64" s="29"/>
      <c r="B64" s="69"/>
      <c r="C64" s="95" t="s">
        <v>22</v>
      </c>
      <c r="D64" s="94"/>
      <c r="E64" s="55">
        <v>4</v>
      </c>
      <c r="F64" s="34"/>
      <c r="G64" s="46"/>
      <c r="H64" s="36"/>
      <c r="I64" s="7"/>
      <c r="J64" s="7"/>
      <c r="K64" s="43">
        <f>SUM(H63:H65)*E61</f>
        <v>577.3265336379238</v>
      </c>
      <c r="L64" s="4"/>
      <c r="M64" s="4"/>
      <c r="N64" s="4"/>
      <c r="O64" s="7"/>
      <c r="P64"/>
    </row>
    <row r="65" spans="1:16" s="27" customFormat="1" ht="12.75">
      <c r="A65" s="29"/>
      <c r="B65" s="94">
        <v>2</v>
      </c>
      <c r="C65" s="95" t="s">
        <v>23</v>
      </c>
      <c r="D65" s="94" t="s">
        <v>21</v>
      </c>
      <c r="E65" s="55">
        <f>1.2*1.25*0.04-E68</f>
        <v>0.015</v>
      </c>
      <c r="F65" s="34">
        <f>PRODUCT(F60,E65)</f>
        <v>0.00435</v>
      </c>
      <c r="G65" s="96">
        <v>89.6</v>
      </c>
      <c r="H65" s="36">
        <f>PRODUCT(F65,G65)</f>
        <v>0.38975999999999994</v>
      </c>
      <c r="I65" s="7"/>
      <c r="J65" s="7"/>
      <c r="K65" s="4"/>
      <c r="L65" s="4"/>
      <c r="M65" s="43">
        <f>SUM(H65)</f>
        <v>0.38975999999999994</v>
      </c>
      <c r="N65" s="4"/>
      <c r="O65" s="7"/>
      <c r="P65"/>
    </row>
    <row r="66" spans="1:16" s="27" customFormat="1" ht="12.75">
      <c r="A66" s="29"/>
      <c r="B66" s="94">
        <v>3</v>
      </c>
      <c r="C66" s="95" t="s">
        <v>24</v>
      </c>
      <c r="D66" s="94"/>
      <c r="E66" s="55"/>
      <c r="F66" s="34"/>
      <c r="G66" s="34"/>
      <c r="H66" s="36"/>
      <c r="I66" s="97">
        <f>SUM(H67:H68)</f>
        <v>6.852076499999999</v>
      </c>
      <c r="J66" s="7"/>
      <c r="K66" s="7"/>
      <c r="L66" s="7"/>
      <c r="M66" s="7"/>
      <c r="N66" s="7"/>
      <c r="O66" s="7"/>
      <c r="P66"/>
    </row>
    <row r="67" spans="1:16" ht="22.5" customHeight="1">
      <c r="A67" s="29"/>
      <c r="B67" s="94">
        <v>31121</v>
      </c>
      <c r="C67" s="95" t="s">
        <v>82</v>
      </c>
      <c r="D67" s="94" t="s">
        <v>26</v>
      </c>
      <c r="E67" s="55">
        <f>1.2*1.25*0.01</f>
        <v>0.015</v>
      </c>
      <c r="F67" s="34">
        <f>PRODUCT(F60,E67)</f>
        <v>0.00435</v>
      </c>
      <c r="G67" s="67">
        <v>242.08</v>
      </c>
      <c r="H67" s="36">
        <f>PRODUCT(F67,G67)</f>
        <v>1.053048</v>
      </c>
      <c r="P67"/>
    </row>
    <row r="68" spans="1:16" ht="12.75" customHeight="1">
      <c r="A68" s="29"/>
      <c r="B68" s="94">
        <v>400001</v>
      </c>
      <c r="C68" s="95" t="s">
        <v>83</v>
      </c>
      <c r="D68" s="98" t="s">
        <v>26</v>
      </c>
      <c r="E68" s="99">
        <f>1.2*1.25*0.03</f>
        <v>0.045</v>
      </c>
      <c r="F68" s="34">
        <f>PRODUCT(F60,E68)</f>
        <v>0.013049999999999999</v>
      </c>
      <c r="G68" s="57">
        <v>444.37</v>
      </c>
      <c r="H68" s="36">
        <f>PRODUCT(F68,G68)</f>
        <v>5.7990284999999995</v>
      </c>
      <c r="P68"/>
    </row>
    <row r="69" spans="1:16" ht="12.75">
      <c r="A69" s="29"/>
      <c r="B69" s="94">
        <v>4</v>
      </c>
      <c r="C69" s="95" t="s">
        <v>27</v>
      </c>
      <c r="D69" s="32"/>
      <c r="E69" s="100"/>
      <c r="F69" s="34"/>
      <c r="G69" s="34"/>
      <c r="H69" s="36"/>
      <c r="J69" s="97">
        <f>SUM(H70:H71)</f>
        <v>283.81024</v>
      </c>
      <c r="P69"/>
    </row>
    <row r="70" spans="1:16" ht="12.75">
      <c r="A70" s="29"/>
      <c r="B70" s="101" t="s">
        <v>84</v>
      </c>
      <c r="C70" s="102" t="s">
        <v>85</v>
      </c>
      <c r="D70" s="101" t="s">
        <v>72</v>
      </c>
      <c r="E70" s="103">
        <v>0.2</v>
      </c>
      <c r="F70" s="34">
        <f>PRODUCT(F60,E70)</f>
        <v>0.057999999999999996</v>
      </c>
      <c r="G70" s="34">
        <v>3.28</v>
      </c>
      <c r="H70" s="36">
        <f>PRODUCT(F70,G70)</f>
        <v>0.19023999999999996</v>
      </c>
      <c r="P70"/>
    </row>
    <row r="71" spans="1:16" ht="12.75">
      <c r="A71" s="29"/>
      <c r="B71" s="94" t="s">
        <v>86</v>
      </c>
      <c r="C71" s="95" t="s">
        <v>87</v>
      </c>
      <c r="D71" s="94" t="s">
        <v>35</v>
      </c>
      <c r="E71" s="55">
        <v>0.02</v>
      </c>
      <c r="F71" s="34">
        <f>PRODUCT(F60,E71)</f>
        <v>0.0058</v>
      </c>
      <c r="G71" s="34">
        <v>48900</v>
      </c>
      <c r="H71" s="36">
        <f>PRODUCT(F71,G71)</f>
        <v>283.62</v>
      </c>
      <c r="I71" s="41"/>
      <c r="J71" s="41"/>
      <c r="K71" s="4"/>
      <c r="L71" s="4"/>
      <c r="M71" s="4"/>
      <c r="N71" s="42"/>
      <c r="O71" s="43"/>
      <c r="P71"/>
    </row>
    <row r="72" spans="1:15" ht="51">
      <c r="A72" s="89">
        <v>4</v>
      </c>
      <c r="B72" s="53" t="s">
        <v>88</v>
      </c>
      <c r="C72" s="54" t="s">
        <v>89</v>
      </c>
      <c r="D72" s="90" t="s">
        <v>81</v>
      </c>
      <c r="E72" s="55"/>
      <c r="F72" s="91">
        <f>F60</f>
        <v>0.29</v>
      </c>
      <c r="G72" s="57"/>
      <c r="H72" s="76"/>
      <c r="I72" s="1"/>
      <c r="J72" s="1"/>
      <c r="K72" s="1"/>
      <c r="L72" s="1"/>
      <c r="M72" s="37"/>
      <c r="N72" s="1"/>
      <c r="O72"/>
    </row>
    <row r="73" spans="1:15" ht="12.75">
      <c r="A73" s="29"/>
      <c r="B73" s="30" t="s">
        <v>38</v>
      </c>
      <c r="C73" s="31" t="s">
        <v>18</v>
      </c>
      <c r="D73" s="32"/>
      <c r="E73" s="93">
        <f>94.5%*0.94</f>
        <v>0.8882999999999999</v>
      </c>
      <c r="F73" s="34"/>
      <c r="G73" s="34"/>
      <c r="H73" s="36"/>
      <c r="I73" s="37"/>
      <c r="J73" s="1"/>
      <c r="K73" s="1"/>
      <c r="L73" s="37"/>
      <c r="M73" s="1"/>
      <c r="N73" s="1"/>
      <c r="O73"/>
    </row>
    <row r="74" spans="1:15" ht="12.75">
      <c r="A74" s="29"/>
      <c r="B74" s="32" t="s">
        <v>39</v>
      </c>
      <c r="C74" s="31" t="s">
        <v>19</v>
      </c>
      <c r="D74" s="38"/>
      <c r="E74" s="93">
        <v>0.4675</v>
      </c>
      <c r="F74" s="34"/>
      <c r="G74" s="34"/>
      <c r="H74" s="40"/>
      <c r="I74" s="41"/>
      <c r="J74" s="41"/>
      <c r="K74" s="4"/>
      <c r="L74" s="4"/>
      <c r="M74" s="4"/>
      <c r="N74" s="42"/>
      <c r="O74" s="43">
        <f>SUM(H75:H77)*E74</f>
        <v>247.45433707499998</v>
      </c>
    </row>
    <row r="75" spans="1:16" s="27" customFormat="1" ht="12.75">
      <c r="A75" s="29"/>
      <c r="B75" s="94">
        <v>1</v>
      </c>
      <c r="C75" s="104" t="s">
        <v>20</v>
      </c>
      <c r="D75" s="94" t="s">
        <v>21</v>
      </c>
      <c r="E75" s="55">
        <f>1.2*1.15*16.5</f>
        <v>22.77</v>
      </c>
      <c r="F75" s="34">
        <f>PRODUCT(F72,E75)</f>
        <v>6.603299999999999</v>
      </c>
      <c r="G75" s="46">
        <v>80.1</v>
      </c>
      <c r="H75" s="36">
        <f>PRODUCT(F75,G75)</f>
        <v>528.9243299999999</v>
      </c>
      <c r="I75" s="41"/>
      <c r="J75" s="41"/>
      <c r="K75" s="4"/>
      <c r="L75" s="43">
        <f>SUM(H75)</f>
        <v>528.9243299999999</v>
      </c>
      <c r="M75" s="4"/>
      <c r="N75" s="4"/>
      <c r="O75" s="7"/>
      <c r="P75"/>
    </row>
    <row r="76" spans="1:16" s="27" customFormat="1" ht="12.75">
      <c r="A76" s="29"/>
      <c r="B76" s="48"/>
      <c r="C76" s="35" t="s">
        <v>22</v>
      </c>
      <c r="D76" s="98"/>
      <c r="E76" s="99">
        <v>3.9</v>
      </c>
      <c r="F76" s="34"/>
      <c r="G76" s="46"/>
      <c r="H76" s="36"/>
      <c r="I76" s="7"/>
      <c r="J76" s="7"/>
      <c r="K76" s="43">
        <f>SUM(H75:H77)*E73</f>
        <v>470.1897061469999</v>
      </c>
      <c r="L76" s="4"/>
      <c r="M76" s="4"/>
      <c r="N76" s="4"/>
      <c r="O76" s="7"/>
      <c r="P76"/>
    </row>
    <row r="77" spans="1:16" s="27" customFormat="1" ht="12.75">
      <c r="A77" s="29"/>
      <c r="B77" s="32">
        <v>2</v>
      </c>
      <c r="C77" s="31" t="s">
        <v>23</v>
      </c>
      <c r="D77" s="32" t="s">
        <v>21</v>
      </c>
      <c r="E77" s="100">
        <f>1.2*1.25*0.05-E79</f>
        <v>0.015000000000000013</v>
      </c>
      <c r="F77" s="34">
        <f>PRODUCT(F72,E77)</f>
        <v>0.004350000000000003</v>
      </c>
      <c r="G77" s="96">
        <v>89.6</v>
      </c>
      <c r="H77" s="36">
        <f>PRODUCT(F77,G77)</f>
        <v>0.3897600000000003</v>
      </c>
      <c r="I77" s="7"/>
      <c r="J77" s="7"/>
      <c r="K77" s="4"/>
      <c r="L77" s="4"/>
      <c r="M77" s="43">
        <f>SUM(H77)</f>
        <v>0.3897600000000003</v>
      </c>
      <c r="N77" s="4"/>
      <c r="O77" s="7"/>
      <c r="P77"/>
    </row>
    <row r="78" spans="1:16" s="27" customFormat="1" ht="12.75">
      <c r="A78" s="29"/>
      <c r="B78" s="94">
        <v>3</v>
      </c>
      <c r="C78" s="104" t="s">
        <v>24</v>
      </c>
      <c r="D78" s="94"/>
      <c r="E78" s="55"/>
      <c r="F78" s="34"/>
      <c r="G78" s="34"/>
      <c r="H78" s="36"/>
      <c r="I78" s="97">
        <f>SUM(H79:H80)</f>
        <v>8.785086</v>
      </c>
      <c r="J78" s="7"/>
      <c r="K78" s="7"/>
      <c r="L78" s="7"/>
      <c r="M78" s="7"/>
      <c r="N78" s="7"/>
      <c r="O78" s="7"/>
      <c r="P78"/>
    </row>
    <row r="79" spans="1:16" s="27" customFormat="1" ht="12.75">
      <c r="A79" s="29"/>
      <c r="B79" s="94">
        <v>400001</v>
      </c>
      <c r="C79" s="95" t="s">
        <v>83</v>
      </c>
      <c r="D79" s="105" t="s">
        <v>26</v>
      </c>
      <c r="E79" s="55">
        <f>1.2*1.25*0.04</f>
        <v>0.06</v>
      </c>
      <c r="F79" s="34">
        <f>PRODUCT(F72,E79)</f>
        <v>0.0174</v>
      </c>
      <c r="G79" s="57">
        <v>444.37</v>
      </c>
      <c r="H79" s="36">
        <f>PRODUCT(F79,G79)</f>
        <v>7.732037999999999</v>
      </c>
      <c r="I79" s="7"/>
      <c r="J79" s="7"/>
      <c r="K79" s="7"/>
      <c r="L79" s="7"/>
      <c r="M79" s="7"/>
      <c r="N79" s="7"/>
      <c r="O79" s="7"/>
      <c r="P79"/>
    </row>
    <row r="80" spans="1:16" s="27" customFormat="1" ht="12.75">
      <c r="A80" s="29"/>
      <c r="B80" s="94">
        <v>31121</v>
      </c>
      <c r="C80" s="95" t="s">
        <v>82</v>
      </c>
      <c r="D80" s="94" t="s">
        <v>26</v>
      </c>
      <c r="E80" s="55">
        <f>1.2*1.25*0.01</f>
        <v>0.015</v>
      </c>
      <c r="F80" s="34">
        <f>PRODUCT(F72,E80)</f>
        <v>0.00435</v>
      </c>
      <c r="G80" s="67">
        <v>242.08</v>
      </c>
      <c r="H80" s="36">
        <f>PRODUCT(F80,G80)</f>
        <v>1.053048</v>
      </c>
      <c r="I80" s="7"/>
      <c r="J80" s="7"/>
      <c r="K80" s="7"/>
      <c r="L80" s="7"/>
      <c r="M80" s="7"/>
      <c r="N80" s="7"/>
      <c r="O80" s="7"/>
      <c r="P80"/>
    </row>
    <row r="81" spans="1:16" s="27" customFormat="1" ht="12.75">
      <c r="A81" s="29"/>
      <c r="B81" s="94">
        <v>4</v>
      </c>
      <c r="C81" s="104" t="s">
        <v>27</v>
      </c>
      <c r="D81" s="105"/>
      <c r="E81" s="106"/>
      <c r="F81" s="34"/>
      <c r="G81" s="34"/>
      <c r="H81" s="36"/>
      <c r="I81" s="7"/>
      <c r="J81" s="97">
        <f>SUM(H82:H84)</f>
        <v>131.93529096800003</v>
      </c>
      <c r="K81" s="7"/>
      <c r="L81" s="7"/>
      <c r="M81" s="7"/>
      <c r="N81" s="7"/>
      <c r="O81" s="7"/>
      <c r="P81"/>
    </row>
    <row r="82" spans="1:16" s="27" customFormat="1" ht="12.75">
      <c r="A82" s="29"/>
      <c r="B82" s="94" t="s">
        <v>90</v>
      </c>
      <c r="C82" s="104" t="s">
        <v>91</v>
      </c>
      <c r="D82" s="94" t="s">
        <v>35</v>
      </c>
      <c r="E82" s="55">
        <v>0.032</v>
      </c>
      <c r="F82" s="34">
        <f>PRODUCT(F72,E82)</f>
        <v>0.00928</v>
      </c>
      <c r="G82" s="34">
        <v>14200</v>
      </c>
      <c r="H82" s="36">
        <f>PRODUCT(F82,G82)</f>
        <v>131.776</v>
      </c>
      <c r="I82" s="7"/>
      <c r="J82" s="7"/>
      <c r="K82" s="7"/>
      <c r="L82" s="7"/>
      <c r="M82" s="7"/>
      <c r="N82" s="7"/>
      <c r="O82" s="7"/>
      <c r="P82"/>
    </row>
    <row r="83" spans="1:16" s="27" customFormat="1" ht="12.75">
      <c r="A83" s="29"/>
      <c r="B83" s="94" t="s">
        <v>84</v>
      </c>
      <c r="C83" s="104" t="s">
        <v>85</v>
      </c>
      <c r="D83" s="94" t="s">
        <v>72</v>
      </c>
      <c r="E83" s="55">
        <v>0.15</v>
      </c>
      <c r="F83" s="34">
        <f>PRODUCT(F72,E83)</f>
        <v>0.0435</v>
      </c>
      <c r="G83" s="34">
        <v>3.28</v>
      </c>
      <c r="H83" s="36">
        <f>PRODUCT(F83,G83)</f>
        <v>0.14267999999999997</v>
      </c>
      <c r="I83" s="41"/>
      <c r="J83" s="41"/>
      <c r="K83" s="4"/>
      <c r="L83" s="4"/>
      <c r="M83" s="4"/>
      <c r="N83" s="42"/>
      <c r="O83" s="43"/>
      <c r="P83"/>
    </row>
    <row r="84" spans="1:16" s="27" customFormat="1" ht="12.75">
      <c r="A84" s="29"/>
      <c r="B84" s="94" t="s">
        <v>92</v>
      </c>
      <c r="C84" s="104" t="s">
        <v>93</v>
      </c>
      <c r="D84" s="94" t="s">
        <v>94</v>
      </c>
      <c r="E84" s="55">
        <v>0.00044</v>
      </c>
      <c r="F84" s="34">
        <f>PRODUCT(F72,E84)</f>
        <v>0.00012759999999999998</v>
      </c>
      <c r="G84" s="34">
        <v>130.18</v>
      </c>
      <c r="H84" s="36">
        <f>PRODUCT(F84,G84)</f>
        <v>0.016610968</v>
      </c>
      <c r="I84" s="1"/>
      <c r="J84" s="1"/>
      <c r="K84" s="1"/>
      <c r="L84" s="37"/>
      <c r="M84" s="1"/>
      <c r="N84" s="1"/>
      <c r="O84"/>
      <c r="P84"/>
    </row>
    <row r="85" spans="1:16" s="27" customFormat="1" ht="38.25">
      <c r="A85" s="89">
        <v>5</v>
      </c>
      <c r="B85" s="53" t="s">
        <v>95</v>
      </c>
      <c r="C85" s="107" t="s">
        <v>96</v>
      </c>
      <c r="D85" s="90" t="s">
        <v>81</v>
      </c>
      <c r="E85" s="55"/>
      <c r="F85" s="56">
        <f>F60</f>
        <v>0.29</v>
      </c>
      <c r="G85" s="57"/>
      <c r="H85" s="76"/>
      <c r="I85"/>
      <c r="J85" s="86"/>
      <c r="K85"/>
      <c r="L85"/>
      <c r="M85"/>
      <c r="N85"/>
      <c r="O85" s="1"/>
      <c r="P85" s="62"/>
    </row>
    <row r="86" spans="1:16" s="27" customFormat="1" ht="12.75">
      <c r="A86" s="29"/>
      <c r="B86" s="30" t="s">
        <v>38</v>
      </c>
      <c r="C86" s="31" t="s">
        <v>18</v>
      </c>
      <c r="D86" s="32"/>
      <c r="E86" s="93">
        <f>94.5%*0.94</f>
        <v>0.8882999999999999</v>
      </c>
      <c r="F86" s="34"/>
      <c r="G86" s="34"/>
      <c r="H86" s="36"/>
      <c r="I86" s="37"/>
      <c r="J86" s="1"/>
      <c r="K86" s="1"/>
      <c r="L86" s="37"/>
      <c r="M86" s="1"/>
      <c r="N86" s="1"/>
      <c r="O86"/>
      <c r="P86" s="62"/>
    </row>
    <row r="87" spans="1:16" s="27" customFormat="1" ht="12.75">
      <c r="A87" s="29"/>
      <c r="B87" s="32" t="s">
        <v>39</v>
      </c>
      <c r="C87" s="31" t="s">
        <v>19</v>
      </c>
      <c r="D87" s="38"/>
      <c r="E87" s="93">
        <v>0.4675</v>
      </c>
      <c r="F87" s="34"/>
      <c r="G87" s="34"/>
      <c r="H87" s="40"/>
      <c r="I87" s="41"/>
      <c r="J87" s="41"/>
      <c r="K87" s="4"/>
      <c r="L87" s="4"/>
      <c r="M87" s="4"/>
      <c r="N87" s="42"/>
      <c r="O87" s="43">
        <f>SUM(H88:H90)*E87</f>
        <v>1715.6799329999997</v>
      </c>
      <c r="P87" s="62"/>
    </row>
    <row r="88" spans="1:16" s="27" customFormat="1" ht="12.75">
      <c r="A88" s="29"/>
      <c r="B88" s="94">
        <v>1</v>
      </c>
      <c r="C88" s="108" t="s">
        <v>20</v>
      </c>
      <c r="D88" s="94" t="s">
        <v>21</v>
      </c>
      <c r="E88" s="55">
        <f>1.2*1.15*120</f>
        <v>165.6</v>
      </c>
      <c r="F88" s="34">
        <f>PRODUCT(F85,E88)</f>
        <v>48.023999999999994</v>
      </c>
      <c r="G88" s="46">
        <v>76.41</v>
      </c>
      <c r="H88" s="36">
        <f>PRODUCT(F88,G88)</f>
        <v>3669.513839999999</v>
      </c>
      <c r="I88" s="41"/>
      <c r="J88" s="41"/>
      <c r="K88" s="4"/>
      <c r="L88" s="43">
        <f>SUM(H88)</f>
        <v>3669.513839999999</v>
      </c>
      <c r="M88" s="4"/>
      <c r="N88" s="4"/>
      <c r="O88" s="7"/>
      <c r="P88" s="62"/>
    </row>
    <row r="89" spans="1:16" s="27" customFormat="1" ht="12.75">
      <c r="A89" s="29"/>
      <c r="B89" s="69"/>
      <c r="C89" s="104" t="s">
        <v>22</v>
      </c>
      <c r="D89" s="94"/>
      <c r="E89" s="55">
        <v>3.5</v>
      </c>
      <c r="F89" s="34"/>
      <c r="G89" s="46"/>
      <c r="H89" s="36"/>
      <c r="I89" s="7"/>
      <c r="J89" s="7"/>
      <c r="K89" s="43">
        <f>SUM(H88:H90)*E86</f>
        <v>3259.975367879999</v>
      </c>
      <c r="L89" s="4"/>
      <c r="M89" s="4"/>
      <c r="N89" s="4"/>
      <c r="O89" s="7"/>
      <c r="P89" s="62"/>
    </row>
    <row r="90" spans="1:16" s="27" customFormat="1" ht="12.75">
      <c r="A90" s="29"/>
      <c r="B90" s="69"/>
      <c r="C90" s="104" t="s">
        <v>23</v>
      </c>
      <c r="D90" s="94" t="s">
        <v>21</v>
      </c>
      <c r="E90" s="55">
        <f>1.2*1.25*0.09-E92</f>
        <v>0.015000000000000013</v>
      </c>
      <c r="F90" s="34">
        <f>PRODUCT(F85,E90)</f>
        <v>0.004350000000000003</v>
      </c>
      <c r="G90" s="66">
        <v>89.6</v>
      </c>
      <c r="H90" s="36">
        <f>PRODUCT(F90,G90)</f>
        <v>0.3897600000000003</v>
      </c>
      <c r="I90" s="7"/>
      <c r="J90" s="7"/>
      <c r="K90" s="4"/>
      <c r="L90" s="4"/>
      <c r="M90" s="43">
        <f>SUM(H90)</f>
        <v>0.3897600000000003</v>
      </c>
      <c r="N90" s="4"/>
      <c r="O90" s="7"/>
      <c r="P90" s="62"/>
    </row>
    <row r="91" spans="1:16" s="27" customFormat="1" ht="12.75">
      <c r="A91" s="29"/>
      <c r="B91" s="94">
        <v>3</v>
      </c>
      <c r="C91" s="104" t="s">
        <v>24</v>
      </c>
      <c r="D91" s="94"/>
      <c r="E91" s="55"/>
      <c r="F91" s="34"/>
      <c r="G91" s="34"/>
      <c r="H91" s="36"/>
      <c r="I91" s="97">
        <f>SUM(H92:H93)</f>
        <v>16.517124</v>
      </c>
      <c r="J91" s="7"/>
      <c r="K91" s="7"/>
      <c r="L91" s="7"/>
      <c r="M91" s="7"/>
      <c r="N91" s="7"/>
      <c r="O91" s="7"/>
      <c r="P91" s="62"/>
    </row>
    <row r="92" spans="1:16" ht="12.75">
      <c r="A92" s="29"/>
      <c r="B92" s="94">
        <v>400001</v>
      </c>
      <c r="C92" s="104" t="s">
        <v>97</v>
      </c>
      <c r="D92" s="94" t="s">
        <v>26</v>
      </c>
      <c r="E92" s="55">
        <f>1.2*1.25*0.08</f>
        <v>0.12</v>
      </c>
      <c r="F92" s="34">
        <f>PRODUCT(F85,E92)</f>
        <v>0.0348</v>
      </c>
      <c r="G92" s="57">
        <v>444.37</v>
      </c>
      <c r="H92" s="36">
        <f>PRODUCT(F92,G92)</f>
        <v>15.464075999999999</v>
      </c>
      <c r="P92" s="62"/>
    </row>
    <row r="93" spans="1:16" ht="12.75">
      <c r="A93" s="29"/>
      <c r="B93" s="94">
        <v>31121</v>
      </c>
      <c r="C93" s="104" t="s">
        <v>25</v>
      </c>
      <c r="D93" s="94" t="s">
        <v>26</v>
      </c>
      <c r="E93" s="55">
        <f>1.2*1.25*0.01</f>
        <v>0.015</v>
      </c>
      <c r="F93" s="34">
        <f>PRODUCT(F85,E93)</f>
        <v>0.00435</v>
      </c>
      <c r="G93" s="57">
        <v>242.08</v>
      </c>
      <c r="H93" s="36">
        <f>PRODUCT(F93,G93)</f>
        <v>1.053048</v>
      </c>
      <c r="P93" s="62"/>
    </row>
    <row r="94" spans="1:16" ht="12.75">
      <c r="A94" s="29"/>
      <c r="B94" s="94">
        <v>4</v>
      </c>
      <c r="C94" s="108" t="s">
        <v>27</v>
      </c>
      <c r="D94" s="94"/>
      <c r="E94" s="55"/>
      <c r="F94" s="34"/>
      <c r="G94" s="34"/>
      <c r="H94" s="36"/>
      <c r="J94" s="97">
        <f>SUM(H95:H97)</f>
        <v>3307.9719999999998</v>
      </c>
      <c r="P94" s="62"/>
    </row>
    <row r="95" spans="1:16" ht="12.75">
      <c r="A95" s="29"/>
      <c r="B95" s="94" t="s">
        <v>98</v>
      </c>
      <c r="C95" s="108" t="s">
        <v>99</v>
      </c>
      <c r="D95" s="94" t="s">
        <v>100</v>
      </c>
      <c r="E95" s="55">
        <v>11.2</v>
      </c>
      <c r="F95" s="34">
        <f>PRODUCT(F85,E95)</f>
        <v>3.2479999999999998</v>
      </c>
      <c r="G95" s="34">
        <v>725</v>
      </c>
      <c r="H95" s="36">
        <f>PRODUCT(F95,G95)</f>
        <v>2354.7999999999997</v>
      </c>
      <c r="P95" s="62"/>
    </row>
    <row r="96" spans="1:16" ht="12.75">
      <c r="A96" s="29"/>
      <c r="B96" s="94" t="s">
        <v>101</v>
      </c>
      <c r="C96" s="104" t="s">
        <v>102</v>
      </c>
      <c r="D96" s="94" t="s">
        <v>35</v>
      </c>
      <c r="E96" s="55">
        <v>0.016</v>
      </c>
      <c r="F96" s="34">
        <f>PRODUCT(F85,E96)</f>
        <v>0.00464</v>
      </c>
      <c r="G96" s="34">
        <v>92800</v>
      </c>
      <c r="H96" s="36">
        <f>PRODUCT(F96,G96)</f>
        <v>430.592</v>
      </c>
      <c r="I96" s="41"/>
      <c r="J96" s="41"/>
      <c r="K96" s="4"/>
      <c r="L96" s="4"/>
      <c r="M96" s="4"/>
      <c r="N96" s="42"/>
      <c r="O96" s="43"/>
      <c r="P96" s="62"/>
    </row>
    <row r="97" spans="1:16" ht="12.75">
      <c r="A97" s="29"/>
      <c r="B97" s="69" t="s">
        <v>103</v>
      </c>
      <c r="C97" s="104" t="s">
        <v>104</v>
      </c>
      <c r="D97" s="94" t="s">
        <v>72</v>
      </c>
      <c r="E97" s="55">
        <v>34</v>
      </c>
      <c r="F97" s="34">
        <f>PRODUCT(F85,E97)</f>
        <v>9.86</v>
      </c>
      <c r="G97" s="34">
        <v>53</v>
      </c>
      <c r="H97" s="36">
        <f>PRODUCT(F97,G97)</f>
        <v>522.5799999999999</v>
      </c>
      <c r="I97" s="1"/>
      <c r="J97" s="1"/>
      <c r="K97" s="1"/>
      <c r="L97" s="37"/>
      <c r="M97" s="1"/>
      <c r="N97" s="1"/>
      <c r="O97"/>
      <c r="P97"/>
    </row>
    <row r="98" spans="1:16" s="13" customFormat="1" ht="12.75">
      <c r="A98" s="306"/>
      <c r="B98" s="307"/>
      <c r="C98" s="308" t="s">
        <v>365</v>
      </c>
      <c r="D98" s="307"/>
      <c r="E98" s="309"/>
      <c r="F98" s="310"/>
      <c r="G98" s="310"/>
      <c r="H98" s="311"/>
      <c r="I98" s="7"/>
      <c r="J98" s="7"/>
      <c r="K98" s="7"/>
      <c r="L98" s="7"/>
      <c r="M98" s="7"/>
      <c r="N98" s="7"/>
      <c r="O98" s="7"/>
      <c r="P98" s="7"/>
    </row>
    <row r="99" spans="1:14" s="27" customFormat="1" ht="76.5">
      <c r="A99" s="44">
        <v>1</v>
      </c>
      <c r="B99" s="38" t="s">
        <v>105</v>
      </c>
      <c r="C99" s="110" t="s">
        <v>106</v>
      </c>
      <c r="D99" s="38" t="s">
        <v>359</v>
      </c>
      <c r="E99" s="45"/>
      <c r="F99" s="111">
        <v>0.041</v>
      </c>
      <c r="G99" s="46"/>
      <c r="H99" s="68"/>
      <c r="I99" s="26"/>
      <c r="N99" s="28"/>
    </row>
    <row r="100" spans="1:22" s="13" customFormat="1" ht="12.75" customHeight="1">
      <c r="A100" s="29"/>
      <c r="B100" s="30"/>
      <c r="C100" s="31" t="s">
        <v>18</v>
      </c>
      <c r="D100" s="32"/>
      <c r="E100" s="33">
        <f>0.94*79%</f>
        <v>0.7426</v>
      </c>
      <c r="F100" s="34"/>
      <c r="G100" s="35"/>
      <c r="H100" s="36"/>
      <c r="I100" s="37"/>
      <c r="J100" s="1"/>
      <c r="K100" s="1"/>
      <c r="L100" s="37"/>
      <c r="M100" s="1"/>
      <c r="N100" s="1"/>
      <c r="O100"/>
      <c r="R100"/>
      <c r="S100"/>
      <c r="T100"/>
      <c r="U100"/>
      <c r="V100"/>
    </row>
    <row r="101" spans="1:22" s="13" customFormat="1" ht="12.75">
      <c r="A101" s="29"/>
      <c r="B101" s="32"/>
      <c r="C101" s="31" t="s">
        <v>19</v>
      </c>
      <c r="D101" s="38"/>
      <c r="E101" s="39">
        <v>0.5</v>
      </c>
      <c r="F101" s="34"/>
      <c r="G101" s="35"/>
      <c r="H101" s="40"/>
      <c r="I101" s="41"/>
      <c r="J101" s="41"/>
      <c r="K101" s="4"/>
      <c r="L101" s="4"/>
      <c r="M101" s="4"/>
      <c r="N101" s="42"/>
      <c r="O101" s="43">
        <f>SUM(H102:H104)*E101</f>
        <v>350.11862874999997</v>
      </c>
      <c r="R101"/>
      <c r="S101"/>
      <c r="T101"/>
      <c r="U101"/>
      <c r="V101"/>
    </row>
    <row r="102" spans="1:14" s="27" customFormat="1" ht="12.75">
      <c r="A102" s="44"/>
      <c r="B102" s="32">
        <v>1</v>
      </c>
      <c r="C102" s="31" t="s">
        <v>20</v>
      </c>
      <c r="D102" s="32" t="s">
        <v>21</v>
      </c>
      <c r="E102" s="45">
        <v>228.35</v>
      </c>
      <c r="F102" s="46">
        <f>E102*F99</f>
        <v>9.36235</v>
      </c>
      <c r="G102" s="46">
        <v>74.53</v>
      </c>
      <c r="H102" s="36">
        <f>PRODUCT(F102,G102)</f>
        <v>697.7759454999999</v>
      </c>
      <c r="I102" s="41"/>
      <c r="J102" s="41"/>
      <c r="K102" s="4"/>
      <c r="L102" s="43">
        <f>SUM(H102)</f>
        <v>697.7759454999999</v>
      </c>
      <c r="M102" s="4"/>
      <c r="N102" s="47"/>
    </row>
    <row r="103" spans="1:14" s="27" customFormat="1" ht="12.75">
      <c r="A103" s="44"/>
      <c r="B103" s="48"/>
      <c r="C103" s="31" t="s">
        <v>22</v>
      </c>
      <c r="D103" s="32"/>
      <c r="E103" s="45">
        <v>3.3</v>
      </c>
      <c r="F103" s="46"/>
      <c r="G103" s="46"/>
      <c r="H103" s="36"/>
      <c r="I103" s="7"/>
      <c r="J103" s="7"/>
      <c r="K103" s="43">
        <f>SUM(H102:H104)*E100</f>
        <v>519.9961874195</v>
      </c>
      <c r="L103" s="4"/>
      <c r="M103" s="4"/>
      <c r="N103" s="47"/>
    </row>
    <row r="104" spans="1:14" s="27" customFormat="1" ht="12.75">
      <c r="A104" s="44"/>
      <c r="B104" s="32">
        <v>2</v>
      </c>
      <c r="C104" s="31" t="s">
        <v>23</v>
      </c>
      <c r="D104" s="32" t="s">
        <v>21</v>
      </c>
      <c r="E104" s="45">
        <v>0.67</v>
      </c>
      <c r="F104" s="46">
        <f>E104*F99</f>
        <v>0.02747</v>
      </c>
      <c r="G104" s="34">
        <v>89.6</v>
      </c>
      <c r="H104" s="36">
        <f>PRODUCT(F104,G104)</f>
        <v>2.461312</v>
      </c>
      <c r="I104" s="7"/>
      <c r="J104" s="7"/>
      <c r="K104" s="4"/>
      <c r="L104" s="4"/>
      <c r="M104" s="43">
        <f>SUM(H104)</f>
        <v>2.461312</v>
      </c>
      <c r="N104" s="47"/>
    </row>
    <row r="105" spans="1:14" s="27" customFormat="1" ht="12.75">
      <c r="A105" s="44"/>
      <c r="B105" s="32">
        <v>3</v>
      </c>
      <c r="C105" s="31" t="s">
        <v>24</v>
      </c>
      <c r="D105" s="32"/>
      <c r="E105" s="45"/>
      <c r="F105" s="46"/>
      <c r="G105" s="34"/>
      <c r="H105" s="36"/>
      <c r="I105" s="49">
        <f>SUM(H106)</f>
        <v>6.6499376</v>
      </c>
      <c r="K105" s="47"/>
      <c r="L105" s="47"/>
      <c r="M105" s="50"/>
      <c r="N105" s="47"/>
    </row>
    <row r="106" spans="1:15" s="27" customFormat="1" ht="12.75">
      <c r="A106" s="44"/>
      <c r="B106" s="32">
        <v>31121</v>
      </c>
      <c r="C106" s="31" t="s">
        <v>25</v>
      </c>
      <c r="D106" s="32" t="s">
        <v>26</v>
      </c>
      <c r="E106" s="45">
        <v>0.67</v>
      </c>
      <c r="F106" s="46">
        <f>E106*F99</f>
        <v>0.02747</v>
      </c>
      <c r="G106" s="46">
        <v>242.08</v>
      </c>
      <c r="H106" s="36">
        <f>PRODUCT(F106,G106)</f>
        <v>6.6499376</v>
      </c>
      <c r="I106" s="26"/>
      <c r="O106" s="51"/>
    </row>
    <row r="107" spans="1:15" s="27" customFormat="1" ht="12.75">
      <c r="A107" s="44"/>
      <c r="B107" s="32">
        <v>4</v>
      </c>
      <c r="C107" s="31" t="s">
        <v>27</v>
      </c>
      <c r="D107" s="32"/>
      <c r="E107" s="45"/>
      <c r="F107" s="46"/>
      <c r="G107" s="46"/>
      <c r="H107" s="36"/>
      <c r="J107" s="49">
        <f>SUM(H108:H110)</f>
        <v>277.6888180000001</v>
      </c>
      <c r="O107" s="51"/>
    </row>
    <row r="108" spans="1:15" s="27" customFormat="1" ht="25.5">
      <c r="A108" s="44"/>
      <c r="B108" s="32" t="s">
        <v>28</v>
      </c>
      <c r="C108" s="31" t="s">
        <v>29</v>
      </c>
      <c r="D108" s="32" t="s">
        <v>30</v>
      </c>
      <c r="E108" s="45">
        <v>2.2</v>
      </c>
      <c r="F108" s="46">
        <f>E108*F99</f>
        <v>0.09020000000000002</v>
      </c>
      <c r="G108" s="46">
        <v>3078.59</v>
      </c>
      <c r="H108" s="36">
        <f>PRODUCT(F108,G108)</f>
        <v>277.6888180000001</v>
      </c>
      <c r="O108" s="51"/>
    </row>
    <row r="109" spans="1:15" s="27" customFormat="1" ht="12.75">
      <c r="A109" s="44"/>
      <c r="B109" s="32" t="s">
        <v>31</v>
      </c>
      <c r="C109" s="31" t="s">
        <v>32</v>
      </c>
      <c r="D109" s="32" t="s">
        <v>30</v>
      </c>
      <c r="E109" s="45">
        <v>0.35</v>
      </c>
      <c r="F109" s="46">
        <f>E109*F99</f>
        <v>0.01435</v>
      </c>
      <c r="G109" s="46">
        <v>0</v>
      </c>
      <c r="H109" s="36">
        <f>PRODUCT(F109,G109)</f>
        <v>0</v>
      </c>
      <c r="J109" s="26"/>
      <c r="O109" s="51"/>
    </row>
    <row r="110" spans="1:15" s="27" customFormat="1" ht="12.75">
      <c r="A110" s="44"/>
      <c r="B110" s="32" t="s">
        <v>33</v>
      </c>
      <c r="C110" s="31" t="s">
        <v>34</v>
      </c>
      <c r="D110" s="32" t="s">
        <v>35</v>
      </c>
      <c r="E110" s="45">
        <v>3.38</v>
      </c>
      <c r="F110" s="46">
        <f>E110*F99</f>
        <v>0.13858</v>
      </c>
      <c r="G110" s="46">
        <v>0</v>
      </c>
      <c r="H110" s="36">
        <f>PRODUCT(F110,G110)</f>
        <v>0</v>
      </c>
      <c r="N110" s="27">
        <f>F110</f>
        <v>0.13858</v>
      </c>
      <c r="O110" s="51"/>
    </row>
    <row r="111" spans="1:13" ht="38.25">
      <c r="A111" s="73">
        <v>2</v>
      </c>
      <c r="B111" s="112" t="s">
        <v>107</v>
      </c>
      <c r="C111" s="113" t="s">
        <v>108</v>
      </c>
      <c r="D111" s="114" t="s">
        <v>359</v>
      </c>
      <c r="E111" s="103"/>
      <c r="F111" s="115">
        <v>1.04</v>
      </c>
      <c r="G111" s="66"/>
      <c r="H111" s="116"/>
      <c r="M111" s="86"/>
    </row>
    <row r="112" spans="1:16" ht="12.75">
      <c r="A112" s="117"/>
      <c r="B112" s="32" t="s">
        <v>109</v>
      </c>
      <c r="C112" s="35" t="s">
        <v>18</v>
      </c>
      <c r="D112" s="98"/>
      <c r="E112" s="118">
        <f>0.94*106.2%</f>
        <v>0.99828</v>
      </c>
      <c r="F112" s="119"/>
      <c r="G112" s="91"/>
      <c r="H112" s="40"/>
      <c r="I112" s="120"/>
      <c r="J112" s="120"/>
      <c r="K112" s="120"/>
      <c r="L112" s="120"/>
      <c r="M112" s="120"/>
      <c r="N112" s="120"/>
      <c r="O112" s="120"/>
      <c r="P112" s="120"/>
    </row>
    <row r="113" spans="1:16" ht="12.75">
      <c r="A113" s="44"/>
      <c r="B113" s="32" t="s">
        <v>39</v>
      </c>
      <c r="C113" s="31" t="s">
        <v>19</v>
      </c>
      <c r="D113" s="38"/>
      <c r="E113" s="33">
        <v>0.5355</v>
      </c>
      <c r="F113" s="115"/>
      <c r="G113" s="46"/>
      <c r="H113" s="40"/>
      <c r="I113" s="121"/>
      <c r="J113" s="121"/>
      <c r="K113" s="47"/>
      <c r="L113" s="47"/>
      <c r="M113" s="47"/>
      <c r="N113" s="122"/>
      <c r="O113" s="50">
        <f>SUM(H114:H116)*E113</f>
        <v>5109.064119432</v>
      </c>
      <c r="P113" s="120"/>
    </row>
    <row r="114" spans="1:14" ht="12.75">
      <c r="A114" s="73"/>
      <c r="B114" s="101">
        <v>1</v>
      </c>
      <c r="C114" s="102" t="s">
        <v>20</v>
      </c>
      <c r="D114" s="101" t="s">
        <v>21</v>
      </c>
      <c r="E114" s="103">
        <f>1.2*1.15*87</f>
        <v>120.05999999999999</v>
      </c>
      <c r="F114" s="67">
        <f>E114*F111</f>
        <v>124.8624</v>
      </c>
      <c r="G114" s="46">
        <v>76.41</v>
      </c>
      <c r="H114" s="72">
        <f>PRODUCT(F114,G114)</f>
        <v>9540.735983999999</v>
      </c>
      <c r="I114" s="1"/>
      <c r="J114" s="1"/>
      <c r="K114" s="1"/>
      <c r="L114" s="37">
        <f>SUM(H114)</f>
        <v>9540.735983999999</v>
      </c>
      <c r="M114" s="1"/>
      <c r="N114" s="1"/>
    </row>
    <row r="115" spans="1:14" ht="12.75">
      <c r="A115" s="73"/>
      <c r="B115" s="123"/>
      <c r="C115" s="102" t="s">
        <v>22</v>
      </c>
      <c r="D115" s="101"/>
      <c r="E115" s="103">
        <v>3.5</v>
      </c>
      <c r="F115" s="67"/>
      <c r="G115" s="67"/>
      <c r="H115" s="72"/>
      <c r="I115" s="1"/>
      <c r="J115" s="1"/>
      <c r="K115" s="37">
        <f>SUM(H114:H116)*E112</f>
        <v>9524.32591810752</v>
      </c>
      <c r="L115" s="1"/>
      <c r="M115" s="1"/>
      <c r="N115" s="1"/>
    </row>
    <row r="116" spans="1:16" ht="12.75">
      <c r="A116" s="73"/>
      <c r="B116" s="101">
        <v>3</v>
      </c>
      <c r="C116" s="102" t="s">
        <v>24</v>
      </c>
      <c r="D116" s="101"/>
      <c r="E116" s="103"/>
      <c r="F116" s="67"/>
      <c r="G116" s="46"/>
      <c r="H116" s="72"/>
      <c r="I116" s="124">
        <f>SUM(H117:H119)</f>
        <v>66.99014400000002</v>
      </c>
      <c r="J116" s="1"/>
      <c r="K116" s="1"/>
      <c r="L116" s="1"/>
      <c r="M116" s="37"/>
      <c r="N116" s="1"/>
      <c r="O116"/>
      <c r="P116"/>
    </row>
    <row r="117" spans="1:16" s="120" customFormat="1" ht="12.75">
      <c r="A117" s="73"/>
      <c r="B117" s="101">
        <v>330208</v>
      </c>
      <c r="C117" s="102" t="s">
        <v>40</v>
      </c>
      <c r="D117" s="101" t="s">
        <v>26</v>
      </c>
      <c r="E117" s="103">
        <f>1.2*1.25*2.2</f>
        <v>3.3000000000000003</v>
      </c>
      <c r="F117" s="67">
        <f>E117*F111</f>
        <v>3.4320000000000004</v>
      </c>
      <c r="G117" s="66">
        <v>11.01</v>
      </c>
      <c r="H117" s="72">
        <f>PRODUCT(F117,G117)</f>
        <v>37.78632</v>
      </c>
      <c r="I117" s="125"/>
      <c r="J117" s="126"/>
      <c r="K117"/>
      <c r="L117"/>
      <c r="M117"/>
      <c r="N117"/>
      <c r="O117" s="127"/>
      <c r="P117"/>
    </row>
    <row r="118" spans="1:16" s="120" customFormat="1" ht="12.75">
      <c r="A118" s="73"/>
      <c r="B118" s="101">
        <v>330901</v>
      </c>
      <c r="C118" s="102" t="s">
        <v>41</v>
      </c>
      <c r="D118" s="101" t="s">
        <v>26</v>
      </c>
      <c r="E118" s="103">
        <f>1.2*1.25*0.38</f>
        <v>0.5700000000000001</v>
      </c>
      <c r="F118" s="67">
        <f>E118*F111</f>
        <v>0.5928000000000001</v>
      </c>
      <c r="G118" s="67">
        <v>18.03</v>
      </c>
      <c r="H118" s="72">
        <f>PRODUCT(F118,G118)</f>
        <v>10.688184000000003</v>
      </c>
      <c r="I118" s="126"/>
      <c r="J118" s="126"/>
      <c r="K118"/>
      <c r="L118"/>
      <c r="M118"/>
      <c r="N118"/>
      <c r="O118" s="127"/>
      <c r="P118" s="7"/>
    </row>
    <row r="119" spans="1:15" ht="12.75">
      <c r="A119" s="73"/>
      <c r="B119" s="101">
        <v>331451</v>
      </c>
      <c r="C119" s="102" t="s">
        <v>42</v>
      </c>
      <c r="D119" s="101" t="s">
        <v>26</v>
      </c>
      <c r="E119" s="103">
        <f>1.2*1.25*1.1</f>
        <v>1.6500000000000001</v>
      </c>
      <c r="F119" s="67">
        <f>E119*F111</f>
        <v>1.7160000000000002</v>
      </c>
      <c r="G119" s="67">
        <v>10.79</v>
      </c>
      <c r="H119" s="72">
        <f>PRODUCT(F119,G119)</f>
        <v>18.51564</v>
      </c>
      <c r="I119" s="126"/>
      <c r="J119" s="126"/>
      <c r="K119"/>
      <c r="L119"/>
      <c r="M119"/>
      <c r="N119"/>
      <c r="O119" s="127"/>
    </row>
    <row r="120" spans="1:15" ht="12.75">
      <c r="A120" s="73"/>
      <c r="B120" s="101">
        <v>4</v>
      </c>
      <c r="C120" s="102" t="s">
        <v>27</v>
      </c>
      <c r="D120" s="101"/>
      <c r="E120" s="103"/>
      <c r="F120" s="67"/>
      <c r="G120" s="67"/>
      <c r="H120" s="72"/>
      <c r="I120" s="128"/>
      <c r="J120" s="129">
        <f>SUM(H121:H137)</f>
        <v>34988.304000000004</v>
      </c>
      <c r="K120" s="128"/>
      <c r="L120" s="128"/>
      <c r="M120" s="128"/>
      <c r="N120" s="127"/>
      <c r="O120"/>
    </row>
    <row r="121" spans="1:15" ht="12.75">
      <c r="A121" s="73"/>
      <c r="B121" s="101" t="s">
        <v>46</v>
      </c>
      <c r="C121" s="102" t="s">
        <v>47</v>
      </c>
      <c r="D121" s="101" t="s">
        <v>45</v>
      </c>
      <c r="E121" s="103">
        <v>77</v>
      </c>
      <c r="F121" s="67">
        <f>E121*F111</f>
        <v>80.08</v>
      </c>
      <c r="G121" s="57">
        <v>21</v>
      </c>
      <c r="H121" s="72">
        <f aca="true" t="shared" si="1" ref="H121:H137">PRODUCT(F121,G121)</f>
        <v>1681.68</v>
      </c>
      <c r="I121"/>
      <c r="J121"/>
      <c r="K121"/>
      <c r="L121"/>
      <c r="M121"/>
      <c r="N121"/>
      <c r="O121"/>
    </row>
    <row r="122" spans="1:15" ht="12.75">
      <c r="A122" s="73"/>
      <c r="B122" s="101" t="s">
        <v>43</v>
      </c>
      <c r="C122" s="102" t="s">
        <v>44</v>
      </c>
      <c r="D122" s="101" t="s">
        <v>45</v>
      </c>
      <c r="E122" s="103">
        <v>269</v>
      </c>
      <c r="F122" s="67">
        <f>E122*F111</f>
        <v>279.76</v>
      </c>
      <c r="G122" s="80">
        <v>25</v>
      </c>
      <c r="H122" s="72">
        <f t="shared" si="1"/>
        <v>6994</v>
      </c>
      <c r="I122" s="37"/>
      <c r="J122" s="37"/>
      <c r="K122" s="1"/>
      <c r="L122" s="1"/>
      <c r="M122" s="1"/>
      <c r="N122" s="130"/>
      <c r="O122"/>
    </row>
    <row r="123" spans="1:15" ht="12.75" customHeight="1">
      <c r="A123" s="73"/>
      <c r="B123" s="101" t="s">
        <v>110</v>
      </c>
      <c r="C123" s="102" t="s">
        <v>111</v>
      </c>
      <c r="D123" s="101" t="s">
        <v>45</v>
      </c>
      <c r="E123" s="103">
        <v>46</v>
      </c>
      <c r="F123" s="67">
        <f>E123*F111</f>
        <v>47.84</v>
      </c>
      <c r="G123" s="80">
        <v>23</v>
      </c>
      <c r="H123" s="72">
        <f t="shared" si="1"/>
        <v>1100.3200000000002</v>
      </c>
      <c r="I123" s="37"/>
      <c r="J123" s="1"/>
      <c r="K123" s="1"/>
      <c r="L123" s="1"/>
      <c r="M123" s="1"/>
      <c r="N123" s="130"/>
      <c r="O123" s="37"/>
    </row>
    <row r="124" spans="1:17" ht="12.75">
      <c r="A124" s="73"/>
      <c r="B124" s="101" t="s">
        <v>64</v>
      </c>
      <c r="C124" s="102" t="s">
        <v>65</v>
      </c>
      <c r="D124" s="101" t="s">
        <v>45</v>
      </c>
      <c r="E124" s="103">
        <v>93</v>
      </c>
      <c r="F124" s="67">
        <f>E124*F111</f>
        <v>96.72</v>
      </c>
      <c r="G124" s="67">
        <v>6.3</v>
      </c>
      <c r="H124" s="72">
        <f t="shared" si="1"/>
        <v>609.336</v>
      </c>
      <c r="I124" s="37"/>
      <c r="J124" s="1"/>
      <c r="K124" s="1"/>
      <c r="L124" s="37"/>
      <c r="M124" s="1"/>
      <c r="N124" s="1"/>
      <c r="O124"/>
      <c r="Q124"/>
    </row>
    <row r="125" spans="1:17" ht="12.75" customHeight="1">
      <c r="A125" s="73"/>
      <c r="B125" s="101" t="s">
        <v>59</v>
      </c>
      <c r="C125" s="102" t="s">
        <v>112</v>
      </c>
      <c r="D125" s="101" t="s">
        <v>50</v>
      </c>
      <c r="E125" s="103">
        <v>335</v>
      </c>
      <c r="F125" s="67">
        <f>E125*F111</f>
        <v>348.40000000000003</v>
      </c>
      <c r="G125" s="67">
        <v>1.6</v>
      </c>
      <c r="H125" s="72">
        <f t="shared" si="1"/>
        <v>557.44</v>
      </c>
      <c r="I125" s="37"/>
      <c r="J125" s="1"/>
      <c r="K125" s="1"/>
      <c r="L125" s="37"/>
      <c r="M125" s="1"/>
      <c r="N125" s="1"/>
      <c r="O125"/>
      <c r="Q125"/>
    </row>
    <row r="126" spans="1:17" ht="12.75">
      <c r="A126" s="73"/>
      <c r="B126" s="101" t="s">
        <v>113</v>
      </c>
      <c r="C126" s="131" t="s">
        <v>114</v>
      </c>
      <c r="D126" s="132" t="s">
        <v>50</v>
      </c>
      <c r="E126" s="133">
        <v>240</v>
      </c>
      <c r="F126" s="67">
        <f>E126*F111</f>
        <v>249.60000000000002</v>
      </c>
      <c r="G126" s="59">
        <v>5.5</v>
      </c>
      <c r="H126" s="72">
        <f t="shared" si="1"/>
        <v>1372.8000000000002</v>
      </c>
      <c r="I126" s="37"/>
      <c r="J126" s="1"/>
      <c r="K126" s="1"/>
      <c r="L126" s="37"/>
      <c r="M126" s="1"/>
      <c r="N126" s="1"/>
      <c r="O126"/>
      <c r="Q126"/>
    </row>
    <row r="127" spans="1:17" ht="12.75">
      <c r="A127" s="73"/>
      <c r="B127" s="101" t="s">
        <v>115</v>
      </c>
      <c r="C127" s="102" t="s">
        <v>116</v>
      </c>
      <c r="D127" s="101" t="s">
        <v>50</v>
      </c>
      <c r="E127" s="103">
        <v>116</v>
      </c>
      <c r="F127" s="67">
        <f>E127*F111</f>
        <v>120.64</v>
      </c>
      <c r="G127" s="67">
        <v>6.7</v>
      </c>
      <c r="H127" s="72">
        <f t="shared" si="1"/>
        <v>808.288</v>
      </c>
      <c r="I127" s="1"/>
      <c r="J127" s="1"/>
      <c r="K127" s="37"/>
      <c r="L127" s="1"/>
      <c r="M127" s="1"/>
      <c r="N127" s="1"/>
      <c r="O127"/>
      <c r="Q127"/>
    </row>
    <row r="128" spans="1:17" ht="12.75">
      <c r="A128" s="73"/>
      <c r="B128" s="101" t="s">
        <v>117</v>
      </c>
      <c r="C128" s="134" t="s">
        <v>118</v>
      </c>
      <c r="D128" s="101" t="s">
        <v>119</v>
      </c>
      <c r="E128" s="103">
        <v>107</v>
      </c>
      <c r="F128" s="67">
        <f>E128*F111</f>
        <v>111.28</v>
      </c>
      <c r="G128" s="67">
        <v>158</v>
      </c>
      <c r="H128" s="72">
        <f t="shared" si="1"/>
        <v>17582.24</v>
      </c>
      <c r="I128" s="125"/>
      <c r="J128" s="1"/>
      <c r="K128" s="1"/>
      <c r="L128" s="1"/>
      <c r="M128" s="37"/>
      <c r="N128" s="1"/>
      <c r="O128"/>
      <c r="Q128"/>
    </row>
    <row r="129" spans="1:16" ht="12.75">
      <c r="A129" s="73"/>
      <c r="B129" s="101"/>
      <c r="C129" s="131" t="s">
        <v>120</v>
      </c>
      <c r="D129" s="132" t="s">
        <v>121</v>
      </c>
      <c r="E129" s="133" t="s">
        <v>122</v>
      </c>
      <c r="F129" s="59">
        <v>0</v>
      </c>
      <c r="G129" s="59">
        <v>450</v>
      </c>
      <c r="H129" s="135">
        <f t="shared" si="1"/>
        <v>0</v>
      </c>
      <c r="I129" s="125"/>
      <c r="J129" s="1"/>
      <c r="K129" s="1"/>
      <c r="L129" s="1"/>
      <c r="M129" s="37"/>
      <c r="N129" s="1"/>
      <c r="P129" s="7"/>
    </row>
    <row r="130" spans="1:16" ht="12.75">
      <c r="A130" s="73"/>
      <c r="B130" s="101" t="s">
        <v>123</v>
      </c>
      <c r="C130" s="102" t="s">
        <v>67</v>
      </c>
      <c r="D130" s="101" t="s">
        <v>50</v>
      </c>
      <c r="E130" s="103">
        <v>829</v>
      </c>
      <c r="F130" s="67">
        <f>E130*F111</f>
        <v>862.1600000000001</v>
      </c>
      <c r="G130" s="67">
        <v>0.15</v>
      </c>
      <c r="H130" s="72">
        <f t="shared" si="1"/>
        <v>129.324</v>
      </c>
      <c r="I130" s="126"/>
      <c r="P130" s="7"/>
    </row>
    <row r="131" spans="1:15" ht="12.75">
      <c r="A131" s="73"/>
      <c r="B131" s="101" t="s">
        <v>124</v>
      </c>
      <c r="C131" s="102" t="s">
        <v>69</v>
      </c>
      <c r="D131" s="101" t="s">
        <v>50</v>
      </c>
      <c r="E131" s="103">
        <v>1855</v>
      </c>
      <c r="F131" s="67">
        <f>E131*F111</f>
        <v>1929.2</v>
      </c>
      <c r="G131" s="67">
        <v>0.25</v>
      </c>
      <c r="H131" s="72">
        <f t="shared" si="1"/>
        <v>482.3</v>
      </c>
      <c r="I131" s="126"/>
      <c r="J131" s="126"/>
      <c r="O131" s="127"/>
    </row>
    <row r="132" spans="1:16" ht="12.75">
      <c r="A132" s="73"/>
      <c r="B132" s="101" t="s">
        <v>125</v>
      </c>
      <c r="C132" s="102" t="s">
        <v>126</v>
      </c>
      <c r="D132" s="101" t="s">
        <v>127</v>
      </c>
      <c r="E132" s="103">
        <v>60</v>
      </c>
      <c r="F132" s="67">
        <f>E132*F111</f>
        <v>62.400000000000006</v>
      </c>
      <c r="G132" s="57">
        <v>14.8</v>
      </c>
      <c r="H132" s="72">
        <f t="shared" si="1"/>
        <v>923.5200000000001</v>
      </c>
      <c r="P132" s="7"/>
    </row>
    <row r="133" spans="1:16" ht="12.75">
      <c r="A133" s="73"/>
      <c r="B133" s="101" t="s">
        <v>128</v>
      </c>
      <c r="C133" s="102" t="s">
        <v>71</v>
      </c>
      <c r="D133" s="101" t="s">
        <v>127</v>
      </c>
      <c r="E133" s="103">
        <v>45</v>
      </c>
      <c r="F133" s="67">
        <f>E133*F111</f>
        <v>46.800000000000004</v>
      </c>
      <c r="G133" s="80">
        <v>15.6</v>
      </c>
      <c r="H133" s="72">
        <f t="shared" si="1"/>
        <v>730.08</v>
      </c>
      <c r="I133" s="37"/>
      <c r="J133" s="37"/>
      <c r="K133" s="1"/>
      <c r="L133" s="1"/>
      <c r="M133" s="1"/>
      <c r="N133" s="130"/>
      <c r="P133" s="7"/>
    </row>
    <row r="134" spans="1:15" ht="12.75">
      <c r="A134" s="73"/>
      <c r="B134" s="101" t="s">
        <v>129</v>
      </c>
      <c r="C134" s="102" t="s">
        <v>130</v>
      </c>
      <c r="D134" s="101" t="s">
        <v>63</v>
      </c>
      <c r="E134" s="103">
        <v>120</v>
      </c>
      <c r="F134" s="67">
        <f>E134*F111</f>
        <v>124.80000000000001</v>
      </c>
      <c r="G134" s="80">
        <v>12</v>
      </c>
      <c r="H134" s="72">
        <f t="shared" si="1"/>
        <v>1497.6000000000001</v>
      </c>
      <c r="I134" s="37"/>
      <c r="J134" s="1"/>
      <c r="K134" s="1"/>
      <c r="L134" s="1"/>
      <c r="M134" s="1"/>
      <c r="N134" s="130"/>
      <c r="O134" s="37"/>
    </row>
    <row r="135" spans="1:16" ht="12.75">
      <c r="A135" s="73"/>
      <c r="B135" s="101" t="s">
        <v>131</v>
      </c>
      <c r="C135" s="102" t="s">
        <v>76</v>
      </c>
      <c r="D135" s="101" t="s">
        <v>63</v>
      </c>
      <c r="E135" s="103">
        <v>44</v>
      </c>
      <c r="F135" s="67">
        <f>E135*F111</f>
        <v>45.760000000000005</v>
      </c>
      <c r="G135" s="67">
        <v>2.6</v>
      </c>
      <c r="H135" s="72">
        <f t="shared" si="1"/>
        <v>118.97600000000001</v>
      </c>
      <c r="I135" s="37"/>
      <c r="J135" s="1"/>
      <c r="K135" s="1"/>
      <c r="L135" s="37"/>
      <c r="M135" s="1"/>
      <c r="N135" s="1"/>
      <c r="P135" s="7"/>
    </row>
    <row r="136" spans="1:16" ht="12.75">
      <c r="A136" s="73"/>
      <c r="B136" s="101" t="s">
        <v>132</v>
      </c>
      <c r="C136" s="102" t="s">
        <v>133</v>
      </c>
      <c r="D136" s="101" t="s">
        <v>50</v>
      </c>
      <c r="E136" s="103">
        <v>7</v>
      </c>
      <c r="F136" s="67">
        <f>E136*F111</f>
        <v>7.28</v>
      </c>
      <c r="G136" s="67">
        <v>55</v>
      </c>
      <c r="H136" s="72">
        <f t="shared" si="1"/>
        <v>400.40000000000003</v>
      </c>
      <c r="I136" s="37"/>
      <c r="J136" s="1"/>
      <c r="K136" s="1"/>
      <c r="L136" s="37"/>
      <c r="M136" s="1"/>
      <c r="N136" s="1"/>
      <c r="P136" s="7"/>
    </row>
    <row r="137" spans="1:16" ht="12.75">
      <c r="A137" s="73"/>
      <c r="B137" s="101" t="s">
        <v>134</v>
      </c>
      <c r="C137" s="131" t="s">
        <v>78</v>
      </c>
      <c r="D137" s="132" t="s">
        <v>127</v>
      </c>
      <c r="E137" s="133">
        <v>11</v>
      </c>
      <c r="F137" s="67">
        <f>E137*F111</f>
        <v>11.440000000000001</v>
      </c>
      <c r="G137" s="59">
        <v>0</v>
      </c>
      <c r="H137" s="72">
        <f t="shared" si="1"/>
        <v>0</v>
      </c>
      <c r="I137" s="37"/>
      <c r="J137" s="1"/>
      <c r="K137" s="1"/>
      <c r="L137" s="37"/>
      <c r="M137" s="1"/>
      <c r="N137" s="1"/>
      <c r="P137" s="7"/>
    </row>
    <row r="138" spans="1:16" ht="89.25">
      <c r="A138" s="92">
        <v>3</v>
      </c>
      <c r="B138" s="53" t="s">
        <v>135</v>
      </c>
      <c r="C138" s="54" t="s">
        <v>136</v>
      </c>
      <c r="D138" s="114" t="s">
        <v>359</v>
      </c>
      <c r="E138" s="55"/>
      <c r="F138" s="91">
        <v>0.064</v>
      </c>
      <c r="G138" s="34"/>
      <c r="H138" s="36"/>
      <c r="I138" s="13"/>
      <c r="J138" s="13"/>
      <c r="K138" s="13"/>
      <c r="L138" s="13"/>
      <c r="M138" s="13"/>
      <c r="N138" s="62"/>
      <c r="O138" s="62"/>
      <c r="P138" s="62"/>
    </row>
    <row r="139" spans="1:16" ht="12.75">
      <c r="A139" s="92"/>
      <c r="B139" s="30" t="s">
        <v>38</v>
      </c>
      <c r="C139" s="31" t="s">
        <v>18</v>
      </c>
      <c r="D139" s="32"/>
      <c r="E139" s="93">
        <f>94.5%*0.94</f>
        <v>0.8882999999999999</v>
      </c>
      <c r="F139" s="34"/>
      <c r="G139" s="34"/>
      <c r="H139" s="36"/>
      <c r="I139" s="37"/>
      <c r="J139" s="1"/>
      <c r="K139" s="1"/>
      <c r="L139" s="37"/>
      <c r="M139" s="1"/>
      <c r="N139" s="1"/>
      <c r="O139" s="62"/>
      <c r="P139" s="13"/>
    </row>
    <row r="140" spans="1:16" ht="12.75">
      <c r="A140" s="92"/>
      <c r="B140" s="32" t="s">
        <v>39</v>
      </c>
      <c r="C140" s="31" t="s">
        <v>19</v>
      </c>
      <c r="D140" s="38"/>
      <c r="E140" s="93">
        <v>0.4675</v>
      </c>
      <c r="F140" s="34"/>
      <c r="G140" s="34"/>
      <c r="H140" s="40"/>
      <c r="I140" s="41"/>
      <c r="J140" s="41"/>
      <c r="K140" s="4"/>
      <c r="L140" s="4"/>
      <c r="M140" s="4"/>
      <c r="N140" s="42"/>
      <c r="O140" s="43">
        <f>SUM(H141:H143)*E140</f>
        <v>516.38342980224</v>
      </c>
      <c r="P140" s="13"/>
    </row>
    <row r="141" spans="1:16" ht="12.75">
      <c r="A141" s="136"/>
      <c r="B141" s="94">
        <v>1</v>
      </c>
      <c r="C141" s="95" t="s">
        <v>20</v>
      </c>
      <c r="D141" s="94" t="s">
        <v>21</v>
      </c>
      <c r="E141" s="55">
        <f>1.15*1.2*159.67</f>
        <v>220.34459999999996</v>
      </c>
      <c r="F141" s="34">
        <f>PRODUCT(F138,E141)</f>
        <v>14.102054399999998</v>
      </c>
      <c r="G141" s="46">
        <v>77.32</v>
      </c>
      <c r="H141" s="36">
        <f>PRODUCT(F141,G141)</f>
        <v>1090.3708462079999</v>
      </c>
      <c r="I141" s="41"/>
      <c r="J141" s="41"/>
      <c r="K141" s="4"/>
      <c r="L141" s="43">
        <f>SUM(H141)</f>
        <v>1090.3708462079999</v>
      </c>
      <c r="M141" s="4"/>
      <c r="N141" s="4"/>
      <c r="O141" s="13"/>
      <c r="P141" s="62"/>
    </row>
    <row r="142" spans="1:16" ht="12.75">
      <c r="A142" s="136"/>
      <c r="B142" s="69"/>
      <c r="C142" s="95" t="s">
        <v>22</v>
      </c>
      <c r="D142" s="94"/>
      <c r="E142" s="55">
        <v>3.6</v>
      </c>
      <c r="F142" s="34"/>
      <c r="G142" s="46"/>
      <c r="H142" s="36"/>
      <c r="K142" s="43">
        <f>SUM(H141:H143)*E139</f>
        <v>981.1837447985662</v>
      </c>
      <c r="L142" s="4"/>
      <c r="M142" s="4"/>
      <c r="N142" s="4"/>
      <c r="O142" s="13"/>
      <c r="P142" s="62"/>
    </row>
    <row r="143" spans="1:16" ht="12.75">
      <c r="A143" s="136"/>
      <c r="B143" s="94">
        <v>2</v>
      </c>
      <c r="C143" s="95" t="s">
        <v>23</v>
      </c>
      <c r="D143" s="94" t="s">
        <v>21</v>
      </c>
      <c r="E143" s="55">
        <f>1.25*1.2*1.65</f>
        <v>2.4749999999999996</v>
      </c>
      <c r="F143" s="34">
        <f>PRODUCT(F138,E143)</f>
        <v>0.15839999999999999</v>
      </c>
      <c r="G143" s="67">
        <v>89.6</v>
      </c>
      <c r="H143" s="36">
        <f>PRODUCT(F143,G143)</f>
        <v>14.192639999999997</v>
      </c>
      <c r="K143" s="4"/>
      <c r="L143" s="4"/>
      <c r="M143" s="43">
        <f>SUM(H143)</f>
        <v>14.192639999999997</v>
      </c>
      <c r="N143" s="4"/>
      <c r="O143" s="13"/>
      <c r="P143" s="62"/>
    </row>
    <row r="144" spans="1:16" ht="12.75">
      <c r="A144" s="136"/>
      <c r="B144" s="94">
        <v>3</v>
      </c>
      <c r="C144" s="95" t="s">
        <v>24</v>
      </c>
      <c r="D144" s="94"/>
      <c r="E144" s="55"/>
      <c r="F144" s="34"/>
      <c r="G144" s="34"/>
      <c r="H144" s="36"/>
      <c r="I144" s="137">
        <f>SUM(H145:H147)</f>
        <v>22.5575808</v>
      </c>
      <c r="J144" s="13"/>
      <c r="K144" s="13"/>
      <c r="L144" s="13"/>
      <c r="M144" s="13"/>
      <c r="N144" s="13"/>
      <c r="O144" s="13"/>
      <c r="P144" s="62"/>
    </row>
    <row r="145" spans="1:16" ht="25.5">
      <c r="A145" s="136"/>
      <c r="B145" s="94">
        <v>110901</v>
      </c>
      <c r="C145" s="95" t="s">
        <v>137</v>
      </c>
      <c r="D145" s="94" t="s">
        <v>26</v>
      </c>
      <c r="E145" s="55">
        <f>1.25*1.2*1.3</f>
        <v>1.9500000000000002</v>
      </c>
      <c r="F145" s="34">
        <f>PRODUCT(F138,E145)</f>
        <v>0.12480000000000001</v>
      </c>
      <c r="G145" s="57">
        <v>104.14</v>
      </c>
      <c r="H145" s="36">
        <f>PRODUCT(F145,G145)</f>
        <v>12.996672</v>
      </c>
      <c r="I145" s="13"/>
      <c r="J145" s="13"/>
      <c r="K145" s="13"/>
      <c r="L145" s="13"/>
      <c r="M145" s="13"/>
      <c r="N145" s="13"/>
      <c r="O145" s="13"/>
      <c r="P145" s="62"/>
    </row>
    <row r="146" spans="1:16" ht="12.75">
      <c r="A146" s="136"/>
      <c r="B146" s="94">
        <v>30101</v>
      </c>
      <c r="C146" s="104" t="s">
        <v>138</v>
      </c>
      <c r="D146" s="138" t="s">
        <v>26</v>
      </c>
      <c r="E146" s="106">
        <f>1.25*1.2*0.08</f>
        <v>0.12</v>
      </c>
      <c r="F146" s="34">
        <f>PRODUCT(F138,E146)</f>
        <v>0.00768</v>
      </c>
      <c r="G146" s="57">
        <v>427.89</v>
      </c>
      <c r="H146" s="36">
        <f>PRODUCT(F146,G146)</f>
        <v>3.2861952</v>
      </c>
      <c r="I146" s="13"/>
      <c r="J146" s="13"/>
      <c r="K146" s="13"/>
      <c r="L146" s="13"/>
      <c r="M146" s="13"/>
      <c r="N146" s="13"/>
      <c r="O146" s="13"/>
      <c r="P146" s="62"/>
    </row>
    <row r="147" spans="1:16" ht="25.5">
      <c r="A147" s="136"/>
      <c r="B147" s="94">
        <v>31121</v>
      </c>
      <c r="C147" s="95" t="s">
        <v>139</v>
      </c>
      <c r="D147" s="98" t="s">
        <v>26</v>
      </c>
      <c r="E147" s="99">
        <f>1.25*1.2*0.27</f>
        <v>0.405</v>
      </c>
      <c r="F147" s="34">
        <f>E147*F138</f>
        <v>0.025920000000000002</v>
      </c>
      <c r="G147" s="57">
        <v>242.08</v>
      </c>
      <c r="H147" s="36">
        <f>PRODUCT(F147,G147)</f>
        <v>6.274713600000001</v>
      </c>
      <c r="I147" s="13"/>
      <c r="J147" s="13"/>
      <c r="K147" s="43"/>
      <c r="L147" s="4"/>
      <c r="M147" s="4"/>
      <c r="N147" s="4"/>
      <c r="O147" s="13"/>
      <c r="P147" s="62"/>
    </row>
    <row r="148" spans="1:16" ht="12.75">
      <c r="A148" s="136"/>
      <c r="B148" s="94">
        <v>4</v>
      </c>
      <c r="C148" s="95" t="s">
        <v>27</v>
      </c>
      <c r="D148" s="32"/>
      <c r="E148" s="100"/>
      <c r="F148" s="34"/>
      <c r="G148" s="34"/>
      <c r="H148" s="36"/>
      <c r="I148" s="137"/>
      <c r="J148" s="137">
        <f>SUM(H149:H153)</f>
        <v>3017.7017600000004</v>
      </c>
      <c r="K148" s="13"/>
      <c r="L148" s="13"/>
      <c r="M148" s="13"/>
      <c r="N148" s="13"/>
      <c r="O148" s="13"/>
      <c r="P148" s="62"/>
    </row>
    <row r="149" spans="1:16" ht="12.75">
      <c r="A149" s="136"/>
      <c r="B149" s="94" t="s">
        <v>140</v>
      </c>
      <c r="C149" s="95" t="s">
        <v>141</v>
      </c>
      <c r="D149" s="94" t="s">
        <v>94</v>
      </c>
      <c r="E149" s="55">
        <v>100</v>
      </c>
      <c r="F149" s="34">
        <f>E149*F138</f>
        <v>6.4</v>
      </c>
      <c r="G149" s="34">
        <v>452</v>
      </c>
      <c r="H149" s="36">
        <f>PRODUCT(F149,G149)</f>
        <v>2892.8</v>
      </c>
      <c r="I149" s="13"/>
      <c r="J149" s="13"/>
      <c r="K149" s="13"/>
      <c r="L149" s="13"/>
      <c r="M149" s="13"/>
      <c r="N149" s="13"/>
      <c r="O149" s="13"/>
      <c r="P149" s="62"/>
    </row>
    <row r="150" spans="1:16" ht="25.5">
      <c r="A150" s="136"/>
      <c r="B150" s="94" t="s">
        <v>142</v>
      </c>
      <c r="C150" s="95" t="s">
        <v>143</v>
      </c>
      <c r="D150" s="94" t="s">
        <v>35</v>
      </c>
      <c r="E150" s="55">
        <v>0.375</v>
      </c>
      <c r="F150" s="34">
        <f>E150*F138</f>
        <v>0.024</v>
      </c>
      <c r="G150" s="46">
        <f>89/25*1000</f>
        <v>3560</v>
      </c>
      <c r="H150" s="36">
        <f>PRODUCT(F150,G150)</f>
        <v>85.44</v>
      </c>
      <c r="I150" s="41"/>
      <c r="J150" s="41"/>
      <c r="K150" s="4"/>
      <c r="L150" s="43"/>
      <c r="M150" s="4"/>
      <c r="N150" s="4"/>
      <c r="O150" s="13"/>
      <c r="P150" s="62"/>
    </row>
    <row r="151" spans="1:16" ht="12.75">
      <c r="A151" s="136"/>
      <c r="B151" s="69" t="s">
        <v>144</v>
      </c>
      <c r="C151" s="95" t="s">
        <v>145</v>
      </c>
      <c r="D151" s="94" t="s">
        <v>35</v>
      </c>
      <c r="E151" s="55">
        <v>0.05</v>
      </c>
      <c r="F151" s="34">
        <f>E151*F138</f>
        <v>0.0032</v>
      </c>
      <c r="G151" s="46">
        <v>12300</v>
      </c>
      <c r="H151" s="36">
        <f>PRODUCT(F151,G151)</f>
        <v>39.36</v>
      </c>
      <c r="I151" s="13"/>
      <c r="J151" s="13"/>
      <c r="K151" s="43"/>
      <c r="L151" s="4"/>
      <c r="M151" s="4"/>
      <c r="N151" s="4"/>
      <c r="O151" s="13"/>
      <c r="P151" s="62"/>
    </row>
    <row r="152" spans="1:16" ht="12.75">
      <c r="A152" s="136"/>
      <c r="B152" s="94" t="s">
        <v>146</v>
      </c>
      <c r="C152" s="95" t="s">
        <v>32</v>
      </c>
      <c r="D152" s="94" t="s">
        <v>30</v>
      </c>
      <c r="E152" s="55">
        <v>0.93</v>
      </c>
      <c r="F152" s="34">
        <f>E152*F138</f>
        <v>0.05952</v>
      </c>
      <c r="G152" s="67">
        <v>0</v>
      </c>
      <c r="H152" s="36">
        <f>PRODUCT(F152,G152)</f>
        <v>0</v>
      </c>
      <c r="I152" s="13"/>
      <c r="J152" s="13"/>
      <c r="K152" s="4"/>
      <c r="L152" s="4"/>
      <c r="M152" s="43"/>
      <c r="N152" s="4"/>
      <c r="O152" s="13"/>
      <c r="P152" s="62"/>
    </row>
    <row r="153" spans="1:16" ht="12.75">
      <c r="A153" s="136"/>
      <c r="B153" s="94" t="s">
        <v>84</v>
      </c>
      <c r="C153" s="95" t="s">
        <v>85</v>
      </c>
      <c r="D153" s="94" t="s">
        <v>72</v>
      </c>
      <c r="E153" s="55">
        <v>0.5</v>
      </c>
      <c r="F153" s="34">
        <f>E153*F138</f>
        <v>0.032</v>
      </c>
      <c r="G153" s="34">
        <v>3.18</v>
      </c>
      <c r="H153" s="36">
        <f>PRODUCT(F153,G153)</f>
        <v>0.10176</v>
      </c>
      <c r="I153" s="137"/>
      <c r="J153" s="13"/>
      <c r="K153" s="13"/>
      <c r="L153" s="13"/>
      <c r="M153" s="13"/>
      <c r="N153" s="13"/>
      <c r="O153" s="13"/>
      <c r="P153" s="62"/>
    </row>
    <row r="154" spans="1:16" s="120" customFormat="1" ht="14.25">
      <c r="A154" s="139">
        <v>4</v>
      </c>
      <c r="B154" s="140" t="s">
        <v>147</v>
      </c>
      <c r="C154" s="141" t="s">
        <v>148</v>
      </c>
      <c r="D154" s="140" t="s">
        <v>359</v>
      </c>
      <c r="E154" s="133"/>
      <c r="F154" s="142">
        <v>1.04</v>
      </c>
      <c r="G154" s="59"/>
      <c r="H154" s="143"/>
      <c r="I154" s="4"/>
      <c r="J154" s="4"/>
      <c r="K154" s="4"/>
      <c r="L154" s="43"/>
      <c r="M154" s="4"/>
      <c r="N154" s="4"/>
      <c r="O154" s="7"/>
      <c r="P154" s="7"/>
    </row>
    <row r="155" spans="1:16" s="120" customFormat="1" ht="12.75">
      <c r="A155" s="139"/>
      <c r="B155" s="132" t="s">
        <v>109</v>
      </c>
      <c r="C155" s="144" t="s">
        <v>18</v>
      </c>
      <c r="D155" s="132"/>
      <c r="E155" s="145">
        <f>0.94*94.5%</f>
        <v>0.8882999999999999</v>
      </c>
      <c r="F155" s="146"/>
      <c r="G155" s="147"/>
      <c r="H155" s="148"/>
      <c r="I155" s="4"/>
      <c r="J155" s="4"/>
      <c r="K155" s="43"/>
      <c r="L155" s="4"/>
      <c r="M155" s="4"/>
      <c r="N155" s="43"/>
      <c r="O155" s="7"/>
      <c r="P155" s="7"/>
    </row>
    <row r="156" spans="1:16" s="120" customFormat="1" ht="12.75">
      <c r="A156" s="139"/>
      <c r="B156" s="32" t="s">
        <v>39</v>
      </c>
      <c r="C156" s="144" t="s">
        <v>19</v>
      </c>
      <c r="D156" s="140"/>
      <c r="E156" s="145">
        <v>0.4675</v>
      </c>
      <c r="F156" s="146"/>
      <c r="G156" s="147"/>
      <c r="H156" s="149"/>
      <c r="I156" s="41"/>
      <c r="J156" s="41"/>
      <c r="K156" s="4"/>
      <c r="L156" s="4"/>
      <c r="M156" s="4"/>
      <c r="N156" s="42"/>
      <c r="O156" s="43">
        <f>SUM(H157:H159)*E156</f>
        <v>645.038924244</v>
      </c>
      <c r="P156" s="7"/>
    </row>
    <row r="157" spans="1:16" s="120" customFormat="1" ht="12.75">
      <c r="A157" s="139"/>
      <c r="B157" s="132">
        <v>1</v>
      </c>
      <c r="C157" s="144" t="s">
        <v>149</v>
      </c>
      <c r="D157" s="132" t="s">
        <v>21</v>
      </c>
      <c r="E157" s="133">
        <f>1.2*1.15*11.99</f>
        <v>16.5462</v>
      </c>
      <c r="F157" s="59">
        <f>PRODUCT(F154,E157)</f>
        <v>17.208047999999998</v>
      </c>
      <c r="G157" s="59">
        <v>80.1</v>
      </c>
      <c r="H157" s="135">
        <f>PRODUCT(F157,G157)</f>
        <v>1378.3646447999997</v>
      </c>
      <c r="I157" s="41"/>
      <c r="J157" s="41"/>
      <c r="K157" s="4"/>
      <c r="L157" s="43">
        <f>SUM(H157)</f>
        <v>1378.3646447999997</v>
      </c>
      <c r="M157" s="4"/>
      <c r="N157" s="4"/>
      <c r="O157" s="7"/>
      <c r="P157" s="7"/>
    </row>
    <row r="158" spans="1:16" s="120" customFormat="1" ht="12.75">
      <c r="A158" s="139"/>
      <c r="B158" s="150" t="s">
        <v>150</v>
      </c>
      <c r="C158" s="131" t="s">
        <v>22</v>
      </c>
      <c r="D158" s="132"/>
      <c r="E158" s="133">
        <v>3.9</v>
      </c>
      <c r="F158" s="59"/>
      <c r="G158" s="59"/>
      <c r="H158" s="135"/>
      <c r="I158" s="7"/>
      <c r="J158" s="7"/>
      <c r="K158" s="43">
        <f>SUM(H157:H159)*E155</f>
        <v>1225.6429441838395</v>
      </c>
      <c r="L158" s="4"/>
      <c r="M158" s="4"/>
      <c r="N158" s="4"/>
      <c r="O158" s="7"/>
      <c r="P158" s="7"/>
    </row>
    <row r="159" spans="1:16" s="120" customFormat="1" ht="12.75">
      <c r="A159" s="139"/>
      <c r="B159" s="132">
        <v>2</v>
      </c>
      <c r="C159" s="131" t="s">
        <v>23</v>
      </c>
      <c r="D159" s="132" t="s">
        <v>21</v>
      </c>
      <c r="E159" s="133">
        <f>E162</f>
        <v>0.015</v>
      </c>
      <c r="F159" s="59">
        <f>PRODUCT(F154,E159)</f>
        <v>0.0156</v>
      </c>
      <c r="G159" s="66">
        <v>89.6</v>
      </c>
      <c r="H159" s="135">
        <f>PRODUCT(F159,G159)</f>
        <v>1.39776</v>
      </c>
      <c r="I159" s="7"/>
      <c r="J159" s="7"/>
      <c r="K159" s="4"/>
      <c r="L159" s="4"/>
      <c r="M159" s="43">
        <f>SUM(H159)</f>
        <v>1.39776</v>
      </c>
      <c r="N159" s="4"/>
      <c r="O159" s="7"/>
      <c r="P159" s="7"/>
    </row>
    <row r="160" spans="1:16" s="120" customFormat="1" ht="12.75">
      <c r="A160" s="139"/>
      <c r="B160" s="132">
        <v>3</v>
      </c>
      <c r="C160" s="131" t="s">
        <v>24</v>
      </c>
      <c r="D160" s="132"/>
      <c r="E160" s="133"/>
      <c r="F160" s="59"/>
      <c r="G160" s="59"/>
      <c r="H160" s="135"/>
      <c r="I160" s="151">
        <f>SUM(H161:H162)</f>
        <v>24.572964</v>
      </c>
      <c r="J160" s="152"/>
      <c r="K160" s="152"/>
      <c r="L160" s="151"/>
      <c r="M160" s="152"/>
      <c r="N160" s="152"/>
      <c r="O160" s="7"/>
      <c r="P160" s="7"/>
    </row>
    <row r="161" spans="1:16" s="120" customFormat="1" ht="12.75">
      <c r="A161" s="139"/>
      <c r="B161" s="132">
        <v>400001</v>
      </c>
      <c r="C161" s="131" t="s">
        <v>151</v>
      </c>
      <c r="D161" s="132" t="s">
        <v>26</v>
      </c>
      <c r="E161" s="133">
        <f>1.2*1.25*0.03</f>
        <v>0.045</v>
      </c>
      <c r="F161" s="59">
        <f>PRODUCT(F154,E161)</f>
        <v>0.0468</v>
      </c>
      <c r="G161" s="57">
        <v>444.37</v>
      </c>
      <c r="H161" s="135">
        <f>PRODUCT(F161,G161)</f>
        <v>20.796516</v>
      </c>
      <c r="I161" s="4"/>
      <c r="J161" s="4"/>
      <c r="K161" s="4"/>
      <c r="L161" s="43"/>
      <c r="M161" s="4"/>
      <c r="N161" s="4"/>
      <c r="O161" s="7"/>
      <c r="P161" s="7"/>
    </row>
    <row r="162" spans="1:16" s="120" customFormat="1" ht="12.75">
      <c r="A162" s="139"/>
      <c r="B162" s="132">
        <v>31121</v>
      </c>
      <c r="C162" s="131" t="s">
        <v>25</v>
      </c>
      <c r="D162" s="132" t="s">
        <v>26</v>
      </c>
      <c r="E162" s="133">
        <f>1.2*1.25*0.01</f>
        <v>0.015</v>
      </c>
      <c r="F162" s="59">
        <f>PRODUCT(F154,E162)</f>
        <v>0.0156</v>
      </c>
      <c r="G162" s="57">
        <v>242.08</v>
      </c>
      <c r="H162" s="135">
        <f>PRODUCT(F162,G162)</f>
        <v>3.776448</v>
      </c>
      <c r="I162" s="4"/>
      <c r="J162" s="4"/>
      <c r="K162" s="43"/>
      <c r="L162" s="4"/>
      <c r="M162" s="4"/>
      <c r="N162" s="43"/>
      <c r="O162" s="7"/>
      <c r="P162" s="7"/>
    </row>
    <row r="163" spans="1:16" s="120" customFormat="1" ht="12.75">
      <c r="A163" s="139"/>
      <c r="B163" s="132">
        <v>4</v>
      </c>
      <c r="C163" s="131" t="s">
        <v>27</v>
      </c>
      <c r="D163" s="132"/>
      <c r="E163" s="133"/>
      <c r="F163" s="59"/>
      <c r="G163" s="59"/>
      <c r="H163" s="135"/>
      <c r="I163" s="4"/>
      <c r="J163" s="151">
        <f>SUM(H164:H166)</f>
        <v>374.5386528</v>
      </c>
      <c r="K163" s="4"/>
      <c r="L163" s="4"/>
      <c r="M163" s="4"/>
      <c r="N163" s="43"/>
      <c r="O163" s="7"/>
      <c r="P163" s="7"/>
    </row>
    <row r="164" spans="1:16" s="120" customFormat="1" ht="12.75">
      <c r="A164" s="139"/>
      <c r="B164" s="132" t="s">
        <v>90</v>
      </c>
      <c r="C164" s="131" t="s">
        <v>91</v>
      </c>
      <c r="D164" s="132" t="s">
        <v>35</v>
      </c>
      <c r="E164" s="133">
        <v>0.029</v>
      </c>
      <c r="F164" s="59">
        <f>PRODUCT(F154,E164)</f>
        <v>0.030160000000000003</v>
      </c>
      <c r="G164" s="59">
        <v>12400</v>
      </c>
      <c r="H164" s="135">
        <f>PRODUCT(F164,G164)</f>
        <v>373.98400000000004</v>
      </c>
      <c r="I164" s="4"/>
      <c r="J164" s="153"/>
      <c r="K164" s="4"/>
      <c r="L164" s="4"/>
      <c r="M164" s="4"/>
      <c r="N164" s="42"/>
      <c r="O164" s="7"/>
      <c r="P164" s="7"/>
    </row>
    <row r="165" spans="1:16" s="120" customFormat="1" ht="12.75">
      <c r="A165" s="139"/>
      <c r="B165" s="132" t="s">
        <v>84</v>
      </c>
      <c r="C165" s="131" t="s">
        <v>85</v>
      </c>
      <c r="D165" s="132" t="s">
        <v>72</v>
      </c>
      <c r="E165" s="133">
        <v>0.15</v>
      </c>
      <c r="F165" s="59">
        <f>PRODUCT(F154,E165)</f>
        <v>0.156</v>
      </c>
      <c r="G165" s="59">
        <v>3.18</v>
      </c>
      <c r="H165" s="135">
        <f>PRODUCT(F165,G165)</f>
        <v>0.49608</v>
      </c>
      <c r="I165" s="152"/>
      <c r="J165" s="152"/>
      <c r="K165" s="152"/>
      <c r="L165" s="152"/>
      <c r="M165" s="152"/>
      <c r="N165" s="152"/>
      <c r="O165" s="7"/>
      <c r="P165" s="7"/>
    </row>
    <row r="166" spans="1:16" s="120" customFormat="1" ht="14.25">
      <c r="A166" s="139"/>
      <c r="B166" s="132" t="s">
        <v>92</v>
      </c>
      <c r="C166" s="131" t="s">
        <v>93</v>
      </c>
      <c r="D166" s="101" t="s">
        <v>360</v>
      </c>
      <c r="E166" s="133">
        <v>0.00044</v>
      </c>
      <c r="F166" s="59">
        <f>PRODUCT(F154,E166)</f>
        <v>0.0004576</v>
      </c>
      <c r="G166" s="59">
        <v>128</v>
      </c>
      <c r="H166" s="135">
        <f>PRODUCT(F166,G166)</f>
        <v>0.0585728</v>
      </c>
      <c r="I166" s="152"/>
      <c r="J166" s="152"/>
      <c r="K166" s="152"/>
      <c r="L166" s="152"/>
      <c r="M166" s="152"/>
      <c r="N166" s="152"/>
      <c r="O166" s="7"/>
      <c r="P166" s="7"/>
    </row>
    <row r="167" spans="1:15" ht="51">
      <c r="A167" s="89">
        <v>5</v>
      </c>
      <c r="B167" s="53" t="s">
        <v>152</v>
      </c>
      <c r="C167" s="54" t="s">
        <v>153</v>
      </c>
      <c r="D167" s="90" t="s">
        <v>81</v>
      </c>
      <c r="E167" s="55"/>
      <c r="F167" s="56">
        <v>1.04</v>
      </c>
      <c r="G167" s="57"/>
      <c r="H167" s="76"/>
      <c r="I167" s="154"/>
      <c r="J167" s="154"/>
      <c r="K167" s="154"/>
      <c r="L167" s="154"/>
      <c r="M167" s="154"/>
      <c r="N167" s="154"/>
      <c r="O167" s="154"/>
    </row>
    <row r="168" spans="1:16" ht="12.75">
      <c r="A168" s="29"/>
      <c r="B168" s="30" t="s">
        <v>38</v>
      </c>
      <c r="C168" s="31" t="s">
        <v>18</v>
      </c>
      <c r="D168" s="32"/>
      <c r="E168" s="93">
        <f>94.5%*0.94</f>
        <v>0.8882999999999999</v>
      </c>
      <c r="F168" s="34"/>
      <c r="G168" s="34"/>
      <c r="H168" s="36"/>
      <c r="I168" s="37"/>
      <c r="J168" s="1"/>
      <c r="K168" s="1"/>
      <c r="L168" s="37"/>
      <c r="M168" s="1"/>
      <c r="N168" s="1"/>
      <c r="P168" s="7"/>
    </row>
    <row r="169" spans="1:16" ht="12.75">
      <c r="A169" s="29"/>
      <c r="B169" s="94" t="s">
        <v>39</v>
      </c>
      <c r="C169" s="31" t="s">
        <v>19</v>
      </c>
      <c r="D169" s="38"/>
      <c r="E169" s="93">
        <v>0.4675</v>
      </c>
      <c r="F169" s="34"/>
      <c r="G169" s="34"/>
      <c r="H169" s="40"/>
      <c r="I169" s="41"/>
      <c r="J169" s="41"/>
      <c r="K169" s="4"/>
      <c r="L169" s="4"/>
      <c r="M169" s="4"/>
      <c r="N169" s="42"/>
      <c r="O169" s="43">
        <f>SUM(H170:H172)*E169</f>
        <v>888.3701084544</v>
      </c>
      <c r="P169" s="7"/>
    </row>
    <row r="170" spans="1:16" ht="12.75">
      <c r="A170" s="29"/>
      <c r="B170" s="94">
        <v>1</v>
      </c>
      <c r="C170" s="95" t="s">
        <v>20</v>
      </c>
      <c r="D170" s="94" t="s">
        <v>21</v>
      </c>
      <c r="E170" s="55">
        <f>1.2*1.15*16.32</f>
        <v>22.5216</v>
      </c>
      <c r="F170" s="34">
        <f>PRODUCT(F167,E170)</f>
        <v>23.422464</v>
      </c>
      <c r="G170" s="46">
        <v>81.07</v>
      </c>
      <c r="H170" s="36">
        <f>PRODUCT(F170,G170)</f>
        <v>1898.85915648</v>
      </c>
      <c r="I170" s="41"/>
      <c r="J170" s="41"/>
      <c r="K170" s="4"/>
      <c r="L170" s="43">
        <f>SUM(H170)</f>
        <v>1898.85915648</v>
      </c>
      <c r="M170" s="4"/>
      <c r="N170" s="4"/>
      <c r="P170" s="1"/>
    </row>
    <row r="171" spans="1:14" ht="12.75">
      <c r="A171" s="64"/>
      <c r="B171" s="69"/>
      <c r="C171" s="95" t="s">
        <v>22</v>
      </c>
      <c r="D171" s="94"/>
      <c r="E171" s="55">
        <v>4</v>
      </c>
      <c r="F171" s="34"/>
      <c r="G171" s="46"/>
      <c r="H171" s="36"/>
      <c r="K171" s="43">
        <f>SUM(H170:H172)*E168</f>
        <v>1687.9982189091838</v>
      </c>
      <c r="L171" s="4"/>
      <c r="M171" s="4"/>
      <c r="N171" s="4"/>
    </row>
    <row r="172" spans="1:14" ht="12" customHeight="1">
      <c r="A172" s="64"/>
      <c r="B172" s="94">
        <v>2</v>
      </c>
      <c r="C172" s="95" t="s">
        <v>23</v>
      </c>
      <c r="D172" s="94" t="s">
        <v>21</v>
      </c>
      <c r="E172" s="55">
        <f>1.2*1.25*0.03-E175</f>
        <v>0.015</v>
      </c>
      <c r="F172" s="34">
        <f>PRODUCT(F167,E172)</f>
        <v>0.0156</v>
      </c>
      <c r="G172" s="66">
        <v>89.6</v>
      </c>
      <c r="H172" s="36">
        <f>PRODUCT(F172,G172)</f>
        <v>1.39776</v>
      </c>
      <c r="K172" s="4"/>
      <c r="L172" s="4"/>
      <c r="M172" s="43">
        <f>SUM(H172)</f>
        <v>1.39776</v>
      </c>
      <c r="N172" s="4"/>
    </row>
    <row r="173" spans="1:9" ht="12.75">
      <c r="A173" s="64"/>
      <c r="B173" s="94">
        <v>3</v>
      </c>
      <c r="C173" s="95" t="s">
        <v>24</v>
      </c>
      <c r="D173" s="94"/>
      <c r="E173" s="55"/>
      <c r="F173" s="34"/>
      <c r="G173" s="34"/>
      <c r="H173" s="36"/>
      <c r="I173" s="97">
        <f>SUM(H174:H175)</f>
        <v>17.640791999999998</v>
      </c>
    </row>
    <row r="174" spans="1:8" ht="12.75">
      <c r="A174" s="64"/>
      <c r="B174" s="94">
        <v>31121</v>
      </c>
      <c r="C174" s="95" t="s">
        <v>82</v>
      </c>
      <c r="D174" s="94" t="s">
        <v>26</v>
      </c>
      <c r="E174" s="55">
        <f>1.2*1.25*0.01</f>
        <v>0.015</v>
      </c>
      <c r="F174" s="34">
        <f>PRODUCT(F167,E174)</f>
        <v>0.0156</v>
      </c>
      <c r="G174" s="57">
        <v>242.08</v>
      </c>
      <c r="H174" s="36">
        <f>PRODUCT(F174,G174)</f>
        <v>3.776448</v>
      </c>
    </row>
    <row r="175" spans="1:8" ht="12.75">
      <c r="A175" s="64"/>
      <c r="B175" s="94">
        <v>400001</v>
      </c>
      <c r="C175" s="95" t="s">
        <v>83</v>
      </c>
      <c r="D175" s="98" t="s">
        <v>26</v>
      </c>
      <c r="E175" s="99">
        <f>1.2*1.25*0.02</f>
        <v>0.03</v>
      </c>
      <c r="F175" s="34">
        <f>PRODUCT(F167,E175)</f>
        <v>0.0312</v>
      </c>
      <c r="G175" s="57">
        <v>444.37</v>
      </c>
      <c r="H175" s="36">
        <f>PRODUCT(F175,G175)</f>
        <v>13.864344</v>
      </c>
    </row>
    <row r="176" spans="1:10" ht="12.75">
      <c r="A176" s="64"/>
      <c r="B176" s="94">
        <v>4</v>
      </c>
      <c r="C176" s="95" t="s">
        <v>27</v>
      </c>
      <c r="D176" s="32"/>
      <c r="E176" s="100"/>
      <c r="F176" s="34"/>
      <c r="G176" s="34"/>
      <c r="H176" s="36"/>
      <c r="J176" s="97">
        <f>SUM(H177:H178)</f>
        <v>1009.48224</v>
      </c>
    </row>
    <row r="177" spans="1:8" ht="12.75">
      <c r="A177" s="64"/>
      <c r="B177" s="101" t="s">
        <v>84</v>
      </c>
      <c r="C177" s="102" t="s">
        <v>85</v>
      </c>
      <c r="D177" s="101" t="s">
        <v>72</v>
      </c>
      <c r="E177" s="103">
        <v>0.2</v>
      </c>
      <c r="F177" s="34">
        <f>PRODUCT(F167,E177)</f>
        <v>0.20800000000000002</v>
      </c>
      <c r="G177" s="34">
        <v>3.28</v>
      </c>
      <c r="H177" s="36">
        <f>PRODUCT(F177,G177)</f>
        <v>0.6822400000000001</v>
      </c>
    </row>
    <row r="178" spans="1:15" ht="12.75">
      <c r="A178" s="64"/>
      <c r="B178" s="94" t="s">
        <v>86</v>
      </c>
      <c r="C178" s="95" t="s">
        <v>87</v>
      </c>
      <c r="D178" s="94" t="s">
        <v>35</v>
      </c>
      <c r="E178" s="55">
        <v>0.02</v>
      </c>
      <c r="F178" s="34">
        <f>PRODUCT(F167,E178)</f>
        <v>0.020800000000000003</v>
      </c>
      <c r="G178" s="34">
        <v>48500</v>
      </c>
      <c r="H178" s="36">
        <f>PRODUCT(F178,G178)</f>
        <v>1008.8000000000001</v>
      </c>
      <c r="I178" s="41"/>
      <c r="J178" s="41"/>
      <c r="K178" s="4"/>
      <c r="L178" s="4"/>
      <c r="M178" s="4"/>
      <c r="N178" s="42"/>
      <c r="O178" s="43"/>
    </row>
    <row r="179" spans="1:16" ht="127.5">
      <c r="A179" s="92">
        <v>6</v>
      </c>
      <c r="B179" s="53" t="s">
        <v>154</v>
      </c>
      <c r="C179" s="54" t="s">
        <v>155</v>
      </c>
      <c r="D179" s="90" t="s">
        <v>81</v>
      </c>
      <c r="E179" s="55"/>
      <c r="F179" s="91">
        <v>1.04</v>
      </c>
      <c r="G179" s="34"/>
      <c r="H179" s="36"/>
      <c r="I179" s="13"/>
      <c r="J179" s="13"/>
      <c r="K179" s="13"/>
      <c r="L179" s="13"/>
      <c r="M179" s="13"/>
      <c r="N179" s="62"/>
      <c r="O179" s="62"/>
      <c r="P179" s="62"/>
    </row>
    <row r="180" spans="1:16" ht="12.75">
      <c r="A180" s="29"/>
      <c r="B180" s="30" t="s">
        <v>38</v>
      </c>
      <c r="C180" s="31" t="s">
        <v>18</v>
      </c>
      <c r="D180" s="32"/>
      <c r="E180" s="93">
        <f>94.5%*0.94</f>
        <v>0.8882999999999999</v>
      </c>
      <c r="F180" s="34"/>
      <c r="G180" s="34"/>
      <c r="H180" s="36"/>
      <c r="I180" s="37"/>
      <c r="J180" s="1"/>
      <c r="K180" s="1"/>
      <c r="L180" s="37"/>
      <c r="M180" s="1"/>
      <c r="N180" s="1"/>
      <c r="P180" s="7"/>
    </row>
    <row r="181" spans="1:16" ht="12.75">
      <c r="A181" s="29"/>
      <c r="B181" s="94" t="s">
        <v>39</v>
      </c>
      <c r="C181" s="31" t="s">
        <v>19</v>
      </c>
      <c r="D181" s="38"/>
      <c r="E181" s="93">
        <v>0.4675</v>
      </c>
      <c r="F181" s="34"/>
      <c r="G181" s="34"/>
      <c r="H181" s="40"/>
      <c r="I181" s="41"/>
      <c r="J181" s="41"/>
      <c r="K181" s="4"/>
      <c r="L181" s="4"/>
      <c r="M181" s="4"/>
      <c r="N181" s="42"/>
      <c r="O181" s="43">
        <f>SUM(H182:H184)*E181</f>
        <v>3291.7135257863997</v>
      </c>
      <c r="P181" s="7"/>
    </row>
    <row r="182" spans="1:16" ht="12.75">
      <c r="A182" s="136"/>
      <c r="B182" s="94">
        <v>1</v>
      </c>
      <c r="C182" s="95" t="s">
        <v>20</v>
      </c>
      <c r="D182" s="94" t="s">
        <v>21</v>
      </c>
      <c r="E182" s="55">
        <f>1.2*1.15*55.46</f>
        <v>76.53479999999999</v>
      </c>
      <c r="F182" s="34">
        <f>PRODUCT(F179,E182)</f>
        <v>79.59619199999999</v>
      </c>
      <c r="G182" s="46">
        <v>88.39</v>
      </c>
      <c r="H182" s="36">
        <f>PRODUCT(F182,G182)</f>
        <v>7035.507410879999</v>
      </c>
      <c r="I182" s="41"/>
      <c r="J182" s="41"/>
      <c r="K182" s="4"/>
      <c r="L182" s="43">
        <f>SUM(H182)</f>
        <v>7035.507410879999</v>
      </c>
      <c r="M182" s="4"/>
      <c r="N182" s="4"/>
      <c r="O182" s="13"/>
      <c r="P182" s="62"/>
    </row>
    <row r="183" spans="1:16" ht="12.75">
      <c r="A183" s="136"/>
      <c r="B183" s="69"/>
      <c r="C183" s="95" t="s">
        <v>22</v>
      </c>
      <c r="D183" s="94"/>
      <c r="E183" s="55">
        <v>4.6</v>
      </c>
      <c r="F183" s="34"/>
      <c r="G183" s="46"/>
      <c r="H183" s="36"/>
      <c r="K183" s="43">
        <f>SUM(H182:H184)*E180</f>
        <v>6254.607753916703</v>
      </c>
      <c r="L183" s="4"/>
      <c r="M183" s="4"/>
      <c r="N183" s="4"/>
      <c r="O183" s="13"/>
      <c r="P183" s="62"/>
    </row>
    <row r="184" spans="1:16" ht="12.75">
      <c r="A184" s="136"/>
      <c r="B184" s="94">
        <v>2</v>
      </c>
      <c r="C184" s="95" t="s">
        <v>23</v>
      </c>
      <c r="D184" s="94" t="s">
        <v>21</v>
      </c>
      <c r="E184" s="55">
        <f>1.2*1.25*0.32-E187</f>
        <v>0.05999999999999994</v>
      </c>
      <c r="F184" s="34">
        <f>PRODUCT(F179,E184)</f>
        <v>0.06239999999999994</v>
      </c>
      <c r="G184" s="67">
        <v>89.6</v>
      </c>
      <c r="H184" s="36">
        <f>PRODUCT(F184,G184)</f>
        <v>5.591039999999994</v>
      </c>
      <c r="K184" s="4"/>
      <c r="L184" s="4"/>
      <c r="M184" s="43">
        <f>SUM(H184)</f>
        <v>5.591039999999994</v>
      </c>
      <c r="N184" s="4"/>
      <c r="O184" s="13"/>
      <c r="P184" s="62"/>
    </row>
    <row r="185" spans="1:16" ht="12.75">
      <c r="A185" s="136"/>
      <c r="B185" s="94">
        <v>3</v>
      </c>
      <c r="C185" s="95" t="s">
        <v>24</v>
      </c>
      <c r="D185" s="94"/>
      <c r="E185" s="55"/>
      <c r="F185" s="34"/>
      <c r="G185" s="34"/>
      <c r="H185" s="36"/>
      <c r="I185" s="137">
        <f>SUM(H186:H188)</f>
        <v>225.69518400000004</v>
      </c>
      <c r="J185" s="13"/>
      <c r="K185" s="13"/>
      <c r="L185" s="13"/>
      <c r="M185" s="13"/>
      <c r="N185" s="13"/>
      <c r="O185" s="13"/>
      <c r="P185" s="62"/>
    </row>
    <row r="186" spans="1:16" ht="12.75">
      <c r="A186" s="136"/>
      <c r="B186" s="94">
        <v>330206</v>
      </c>
      <c r="C186" s="95" t="s">
        <v>156</v>
      </c>
      <c r="D186" s="94" t="s">
        <v>26</v>
      </c>
      <c r="E186" s="55">
        <f>1.2*1.25*0.96</f>
        <v>1.44</v>
      </c>
      <c r="F186" s="34">
        <f>PRODUCT(F179,E186)</f>
        <v>1.4976</v>
      </c>
      <c r="G186" s="57">
        <v>11.01</v>
      </c>
      <c r="H186" s="36">
        <f>PRODUCT(F186,G186)</f>
        <v>16.488576000000002</v>
      </c>
      <c r="I186" s="13"/>
      <c r="J186" s="13"/>
      <c r="K186" s="13"/>
      <c r="L186" s="13"/>
      <c r="M186" s="13"/>
      <c r="N186" s="13"/>
      <c r="O186" s="13"/>
      <c r="P186" s="62"/>
    </row>
    <row r="187" spans="1:16" ht="25.5">
      <c r="A187" s="136"/>
      <c r="B187" s="94">
        <v>400001</v>
      </c>
      <c r="C187" s="104" t="s">
        <v>157</v>
      </c>
      <c r="D187" s="138" t="s">
        <v>26</v>
      </c>
      <c r="E187" s="106">
        <f>1.2*1.25*0.28</f>
        <v>0.42000000000000004</v>
      </c>
      <c r="F187" s="34">
        <f>PRODUCT(F179,E187)</f>
        <v>0.4368000000000001</v>
      </c>
      <c r="G187" s="57">
        <v>444.37</v>
      </c>
      <c r="H187" s="36">
        <f>PRODUCT(F187,G187)</f>
        <v>194.10081600000004</v>
      </c>
      <c r="I187" s="13"/>
      <c r="J187" s="13"/>
      <c r="K187" s="13"/>
      <c r="L187" s="13"/>
      <c r="M187" s="13"/>
      <c r="N187" s="13"/>
      <c r="O187" s="13"/>
      <c r="P187" s="62"/>
    </row>
    <row r="188" spans="1:16" ht="25.5">
      <c r="A188" s="136"/>
      <c r="B188" s="94">
        <v>31121</v>
      </c>
      <c r="C188" s="95" t="s">
        <v>139</v>
      </c>
      <c r="D188" s="98" t="s">
        <v>26</v>
      </c>
      <c r="E188" s="99">
        <f>1.2*1.25*0.04</f>
        <v>0.06</v>
      </c>
      <c r="F188" s="34">
        <f>E188*F179</f>
        <v>0.0624</v>
      </c>
      <c r="G188" s="57">
        <v>242.08</v>
      </c>
      <c r="H188" s="36">
        <f>PRODUCT(F188,G188)</f>
        <v>15.105792</v>
      </c>
      <c r="I188" s="13"/>
      <c r="J188" s="13"/>
      <c r="K188" s="43"/>
      <c r="L188" s="4"/>
      <c r="M188" s="4"/>
      <c r="N188" s="4"/>
      <c r="O188" s="13"/>
      <c r="P188" s="62"/>
    </row>
    <row r="189" spans="1:16" ht="12.75">
      <c r="A189" s="136"/>
      <c r="B189" s="94">
        <v>4</v>
      </c>
      <c r="C189" s="95" t="s">
        <v>27</v>
      </c>
      <c r="D189" s="32"/>
      <c r="E189" s="100"/>
      <c r="F189" s="34"/>
      <c r="G189" s="34"/>
      <c r="H189" s="36"/>
      <c r="I189" s="137"/>
      <c r="J189" s="137">
        <f>SUM(H190:H192)</f>
        <v>26924.726400000003</v>
      </c>
      <c r="K189" s="13"/>
      <c r="L189" s="13"/>
      <c r="M189" s="13"/>
      <c r="N189" s="13"/>
      <c r="O189" s="13"/>
      <c r="P189" s="62"/>
    </row>
    <row r="190" spans="1:16" ht="38.25">
      <c r="A190" s="136"/>
      <c r="B190" s="94" t="s">
        <v>158</v>
      </c>
      <c r="C190" s="95" t="s">
        <v>159</v>
      </c>
      <c r="D190" s="94" t="s">
        <v>35</v>
      </c>
      <c r="E190" s="55">
        <v>0.26</v>
      </c>
      <c r="F190" s="34">
        <f>E190*F179</f>
        <v>0.27040000000000003</v>
      </c>
      <c r="G190" s="34">
        <v>95890</v>
      </c>
      <c r="H190" s="36">
        <f>PRODUCT(F190,G190)</f>
        <v>25928.656000000003</v>
      </c>
      <c r="I190" s="13"/>
      <c r="J190" s="13"/>
      <c r="K190" s="13"/>
      <c r="L190" s="13"/>
      <c r="M190" s="13"/>
      <c r="N190" s="13"/>
      <c r="O190" s="13"/>
      <c r="P190" s="62"/>
    </row>
    <row r="191" spans="1:16" ht="25.5">
      <c r="A191" s="136"/>
      <c r="B191" s="94" t="s">
        <v>160</v>
      </c>
      <c r="C191" s="95" t="s">
        <v>161</v>
      </c>
      <c r="D191" s="94" t="s">
        <v>35</v>
      </c>
      <c r="E191" s="55">
        <v>0.016</v>
      </c>
      <c r="F191" s="34">
        <f>E191*F179</f>
        <v>0.016640000000000002</v>
      </c>
      <c r="G191" s="46">
        <v>59860</v>
      </c>
      <c r="H191" s="36">
        <f>PRODUCT(F191,G191)</f>
        <v>996.0704000000002</v>
      </c>
      <c r="I191" s="41"/>
      <c r="J191" s="41"/>
      <c r="K191" s="4"/>
      <c r="L191" s="43"/>
      <c r="M191" s="4"/>
      <c r="N191" s="4"/>
      <c r="O191" s="13"/>
      <c r="P191" s="62"/>
    </row>
    <row r="192" spans="1:16" ht="12.75">
      <c r="A192" s="136"/>
      <c r="B192" s="69" t="s">
        <v>146</v>
      </c>
      <c r="C192" s="95" t="s">
        <v>32</v>
      </c>
      <c r="D192" s="94" t="s">
        <v>30</v>
      </c>
      <c r="E192" s="55">
        <v>0.051</v>
      </c>
      <c r="F192" s="34">
        <f>E192*F179</f>
        <v>0.05304</v>
      </c>
      <c r="G192" s="46">
        <v>0</v>
      </c>
      <c r="H192" s="36">
        <f>PRODUCT(F192,G192)</f>
        <v>0</v>
      </c>
      <c r="I192" s="13"/>
      <c r="J192" s="13"/>
      <c r="K192" s="43"/>
      <c r="L192" s="4"/>
      <c r="M192" s="4"/>
      <c r="N192" s="4"/>
      <c r="O192" s="13"/>
      <c r="P192" s="62"/>
    </row>
    <row r="193" spans="1:8" ht="12.75">
      <c r="A193" s="312"/>
      <c r="B193" s="313"/>
      <c r="C193" s="308" t="s">
        <v>162</v>
      </c>
      <c r="D193" s="314"/>
      <c r="E193" s="315"/>
      <c r="F193" s="316"/>
      <c r="G193" s="317"/>
      <c r="H193" s="318"/>
    </row>
    <row r="194" spans="1:16" ht="25.5">
      <c r="A194" s="92">
        <v>1</v>
      </c>
      <c r="B194" s="53" t="s">
        <v>163</v>
      </c>
      <c r="C194" s="155" t="s">
        <v>164</v>
      </c>
      <c r="D194" s="53" t="s">
        <v>359</v>
      </c>
      <c r="E194" s="109"/>
      <c r="F194" s="56">
        <v>0.119</v>
      </c>
      <c r="G194" s="57"/>
      <c r="H194" s="76"/>
      <c r="I194" s="156"/>
      <c r="J194" s="156"/>
      <c r="K194" s="156"/>
      <c r="L194" s="156"/>
      <c r="M194" s="156"/>
      <c r="N194" s="157"/>
      <c r="O194" s="156"/>
      <c r="P194" s="156"/>
    </row>
    <row r="195" spans="1:17" ht="12.75">
      <c r="A195" s="92"/>
      <c r="B195" s="53"/>
      <c r="C195" s="108" t="s">
        <v>18</v>
      </c>
      <c r="D195" s="94"/>
      <c r="E195" s="93">
        <f>0.94*80%</f>
        <v>0.752</v>
      </c>
      <c r="F195" s="57"/>
      <c r="G195" s="57"/>
      <c r="H195" s="40"/>
      <c r="I195" s="156"/>
      <c r="J195" s="156"/>
      <c r="K195" s="156"/>
      <c r="L195" s="156"/>
      <c r="M195" s="156"/>
      <c r="N195" s="157"/>
      <c r="O195" s="156"/>
      <c r="P195" s="156"/>
      <c r="Q195"/>
    </row>
    <row r="196" spans="1:16" ht="12.75">
      <c r="A196" s="92"/>
      <c r="B196" s="53"/>
      <c r="C196" s="108" t="s">
        <v>19</v>
      </c>
      <c r="D196" s="53"/>
      <c r="E196" s="158">
        <v>0.68</v>
      </c>
      <c r="F196" s="159"/>
      <c r="G196" s="57"/>
      <c r="H196" s="40"/>
      <c r="I196" s="157"/>
      <c r="J196" s="157"/>
      <c r="K196" s="157"/>
      <c r="L196" s="160"/>
      <c r="M196" s="157"/>
      <c r="N196" s="157"/>
      <c r="O196" s="161">
        <f>SUM(H197:H199)*E196</f>
        <v>61.441552592</v>
      </c>
      <c r="P196" s="156"/>
    </row>
    <row r="197" spans="1:16" ht="12.75">
      <c r="A197" s="92"/>
      <c r="B197" s="94">
        <v>1</v>
      </c>
      <c r="C197" s="108" t="s">
        <v>149</v>
      </c>
      <c r="D197" s="94" t="s">
        <v>21</v>
      </c>
      <c r="E197" s="109">
        <v>11.39</v>
      </c>
      <c r="F197" s="57">
        <f>PRODUCT(F194,E197)</f>
        <v>1.35541</v>
      </c>
      <c r="G197" s="57">
        <v>65.64</v>
      </c>
      <c r="H197" s="162">
        <f>PRODUCT(F197,G197)</f>
        <v>88.9691124</v>
      </c>
      <c r="I197" s="156"/>
      <c r="J197" s="156"/>
      <c r="K197" s="156"/>
      <c r="L197" s="163">
        <f>SUM(H197)</f>
        <v>88.9691124</v>
      </c>
      <c r="M197" s="156"/>
      <c r="N197" s="156"/>
      <c r="O197" s="156"/>
      <c r="P197" s="156"/>
    </row>
    <row r="198" spans="1:16" ht="12.75">
      <c r="A198" s="92"/>
      <c r="B198" s="69"/>
      <c r="C198" s="108" t="s">
        <v>22</v>
      </c>
      <c r="D198" s="94" t="s">
        <v>165</v>
      </c>
      <c r="E198" s="109">
        <v>2</v>
      </c>
      <c r="F198" s="57"/>
      <c r="G198" s="57"/>
      <c r="H198" s="162"/>
      <c r="I198" s="156"/>
      <c r="J198" s="156"/>
      <c r="K198" s="163">
        <f>SUM(H197:H199)*E195</f>
        <v>67.9471287488</v>
      </c>
      <c r="L198" s="156"/>
      <c r="M198" s="156"/>
      <c r="N198" s="156"/>
      <c r="O198" s="156"/>
      <c r="P198" s="156"/>
    </row>
    <row r="199" spans="1:16" ht="12.75">
      <c r="A199" s="92"/>
      <c r="B199" s="94">
        <v>2</v>
      </c>
      <c r="C199" s="108" t="s">
        <v>23</v>
      </c>
      <c r="D199" s="94" t="s">
        <v>21</v>
      </c>
      <c r="E199" s="109">
        <v>0.13</v>
      </c>
      <c r="F199" s="57">
        <f>PRODUCT(F194,E199)</f>
        <v>0.01547</v>
      </c>
      <c r="G199" s="34">
        <v>89.6</v>
      </c>
      <c r="H199" s="162">
        <f>PRODUCT(F199,G199)</f>
        <v>1.3861119999999998</v>
      </c>
      <c r="I199" s="156"/>
      <c r="J199" s="156"/>
      <c r="K199" s="156"/>
      <c r="L199" s="156"/>
      <c r="M199" s="163">
        <f>SUM(H199)</f>
        <v>1.3861119999999998</v>
      </c>
      <c r="N199" s="156"/>
      <c r="O199" s="156"/>
      <c r="P199" s="156"/>
    </row>
    <row r="200" spans="1:16" ht="12.75">
      <c r="A200" s="92"/>
      <c r="B200" s="94">
        <v>3</v>
      </c>
      <c r="C200" s="108" t="s">
        <v>166</v>
      </c>
      <c r="D200" s="94" t="s">
        <v>165</v>
      </c>
      <c r="E200" s="109" t="s">
        <v>165</v>
      </c>
      <c r="F200" s="57"/>
      <c r="G200" s="57"/>
      <c r="H200" s="162"/>
      <c r="I200" s="163">
        <f>SUM(H201:H201)</f>
        <v>3.7449776</v>
      </c>
      <c r="J200" s="156"/>
      <c r="K200" s="156"/>
      <c r="L200" s="156"/>
      <c r="M200" s="156"/>
      <c r="N200" s="156"/>
      <c r="O200" s="156"/>
      <c r="P200" s="156"/>
    </row>
    <row r="201" spans="1:16" ht="12.75">
      <c r="A201" s="92"/>
      <c r="B201" s="94">
        <v>31121</v>
      </c>
      <c r="C201" s="108" t="s">
        <v>25</v>
      </c>
      <c r="D201" s="94" t="s">
        <v>26</v>
      </c>
      <c r="E201" s="109">
        <v>0.13</v>
      </c>
      <c r="F201" s="57">
        <f>PRODUCT(F194,E201)</f>
        <v>0.01547</v>
      </c>
      <c r="G201" s="67">
        <v>242.08</v>
      </c>
      <c r="H201" s="162">
        <f>PRODUCT(F201,G201)</f>
        <v>3.7449776</v>
      </c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92"/>
      <c r="B202" s="94">
        <v>4</v>
      </c>
      <c r="C202" s="108" t="s">
        <v>167</v>
      </c>
      <c r="D202" s="94" t="s">
        <v>165</v>
      </c>
      <c r="E202" s="109" t="s">
        <v>165</v>
      </c>
      <c r="F202" s="57"/>
      <c r="G202" s="57"/>
      <c r="H202" s="162"/>
      <c r="I202" s="156"/>
      <c r="J202" s="163">
        <f>SUM(H203:H203)</f>
        <v>0</v>
      </c>
      <c r="K202" s="156"/>
      <c r="L202" s="156"/>
      <c r="M202" s="156"/>
      <c r="N202" s="156"/>
      <c r="O202" s="156"/>
      <c r="P202" s="156"/>
    </row>
    <row r="203" spans="1:16" ht="12.75">
      <c r="A203" s="92"/>
      <c r="B203" s="94" t="s">
        <v>33</v>
      </c>
      <c r="C203" s="108" t="s">
        <v>34</v>
      </c>
      <c r="D203" s="94" t="s">
        <v>35</v>
      </c>
      <c r="E203" s="109">
        <v>0.47</v>
      </c>
      <c r="F203" s="57">
        <f>PRODUCT(F194,E203)</f>
        <v>0.055929999999999994</v>
      </c>
      <c r="G203" s="57">
        <v>0</v>
      </c>
      <c r="H203" s="162">
        <f>PRODUCT(F203,G203)</f>
        <v>0</v>
      </c>
      <c r="I203" s="156"/>
      <c r="J203" s="156"/>
      <c r="K203" s="156"/>
      <c r="L203" s="156"/>
      <c r="M203" s="156"/>
      <c r="N203" s="156">
        <f>F203</f>
        <v>0.055929999999999994</v>
      </c>
      <c r="O203" s="156"/>
      <c r="P203" s="156"/>
    </row>
    <row r="204" spans="1:16" ht="12.75">
      <c r="A204" s="92">
        <v>2</v>
      </c>
      <c r="B204" s="53" t="s">
        <v>168</v>
      </c>
      <c r="C204" s="107" t="s">
        <v>169</v>
      </c>
      <c r="D204" s="53" t="s">
        <v>170</v>
      </c>
      <c r="E204" s="109"/>
      <c r="F204" s="56">
        <v>0.12</v>
      </c>
      <c r="G204" s="57"/>
      <c r="H204" s="162"/>
      <c r="I204" s="156"/>
      <c r="J204" s="163"/>
      <c r="K204" s="156"/>
      <c r="L204" s="156"/>
      <c r="M204" s="156"/>
      <c r="N204" s="156"/>
      <c r="O204" s="164"/>
      <c r="P204" s="165"/>
    </row>
    <row r="205" spans="1:16" ht="12.75">
      <c r="A205" s="92"/>
      <c r="B205" s="94"/>
      <c r="C205" s="108" t="s">
        <v>18</v>
      </c>
      <c r="D205" s="94"/>
      <c r="E205" s="93">
        <f>0.94*80%</f>
        <v>0.752</v>
      </c>
      <c r="F205" s="57"/>
      <c r="G205" s="57"/>
      <c r="H205" s="40"/>
      <c r="I205" s="156"/>
      <c r="J205" s="156"/>
      <c r="K205" s="156"/>
      <c r="L205" s="156"/>
      <c r="M205" s="156"/>
      <c r="N205" s="157"/>
      <c r="O205" s="156"/>
      <c r="P205" s="165"/>
    </row>
    <row r="206" spans="1:16" ht="12.75">
      <c r="A206" s="92"/>
      <c r="B206" s="94"/>
      <c r="C206" s="108" t="s">
        <v>19</v>
      </c>
      <c r="D206" s="53"/>
      <c r="E206" s="158">
        <v>0.68</v>
      </c>
      <c r="F206" s="159"/>
      <c r="G206" s="57"/>
      <c r="H206" s="40"/>
      <c r="I206" s="157"/>
      <c r="J206" s="157"/>
      <c r="K206" s="157"/>
      <c r="L206" s="160"/>
      <c r="M206" s="157"/>
      <c r="N206" s="157"/>
      <c r="O206" s="161">
        <f>SUM(H207:H209)*E206</f>
        <v>20.19296448</v>
      </c>
      <c r="P206" s="165"/>
    </row>
    <row r="207" spans="1:16" ht="12.75">
      <c r="A207" s="92"/>
      <c r="B207" s="94">
        <v>1</v>
      </c>
      <c r="C207" s="104" t="s">
        <v>20</v>
      </c>
      <c r="D207" s="94" t="s">
        <v>21</v>
      </c>
      <c r="E207" s="109">
        <v>3.77</v>
      </c>
      <c r="F207" s="57">
        <f>PRODUCT(F204,E207)</f>
        <v>0.45239999999999997</v>
      </c>
      <c r="G207" s="46">
        <v>65.64</v>
      </c>
      <c r="H207" s="76">
        <f>PRODUCT(F207,G207)</f>
        <v>29.695535999999997</v>
      </c>
      <c r="I207" s="164"/>
      <c r="J207" s="164"/>
      <c r="K207" s="164"/>
      <c r="L207" s="161">
        <f>SUM(H207)</f>
        <v>29.695535999999997</v>
      </c>
      <c r="M207" s="164"/>
      <c r="N207" s="156"/>
      <c r="O207" s="164"/>
      <c r="P207" s="165"/>
    </row>
    <row r="208" spans="1:16" s="62" customFormat="1" ht="12.75">
      <c r="A208" s="92"/>
      <c r="B208" s="69"/>
      <c r="C208" s="104" t="s">
        <v>22</v>
      </c>
      <c r="D208" s="94" t="s">
        <v>165</v>
      </c>
      <c r="E208" s="109">
        <v>2</v>
      </c>
      <c r="F208" s="57"/>
      <c r="G208" s="57"/>
      <c r="H208" s="76"/>
      <c r="I208" s="164"/>
      <c r="J208" s="164"/>
      <c r="K208" s="161">
        <f>SUM(H207:H209)*E205</f>
        <v>22.331043071999996</v>
      </c>
      <c r="L208" s="164"/>
      <c r="M208" s="164"/>
      <c r="N208" s="156"/>
      <c r="O208" s="164"/>
      <c r="P208" s="165"/>
    </row>
    <row r="209" spans="1:18" s="62" customFormat="1" ht="12.75">
      <c r="A209" s="92"/>
      <c r="B209" s="94">
        <v>4</v>
      </c>
      <c r="C209" s="104" t="s">
        <v>167</v>
      </c>
      <c r="D209" s="94" t="s">
        <v>165</v>
      </c>
      <c r="E209" s="109" t="s">
        <v>165</v>
      </c>
      <c r="F209" s="56"/>
      <c r="G209" s="57"/>
      <c r="H209" s="162"/>
      <c r="I209" s="156"/>
      <c r="J209" s="163">
        <f>SUM(H210)</f>
        <v>0</v>
      </c>
      <c r="K209" s="156"/>
      <c r="L209" s="156"/>
      <c r="M209" s="156"/>
      <c r="N209" s="156"/>
      <c r="O209" s="164"/>
      <c r="P209" s="165"/>
      <c r="Q209" s="13"/>
      <c r="R209" s="13"/>
    </row>
    <row r="210" spans="1:18" s="62" customFormat="1" ht="12.75">
      <c r="A210" s="92"/>
      <c r="B210" s="94" t="s">
        <v>33</v>
      </c>
      <c r="C210" s="104" t="s">
        <v>34</v>
      </c>
      <c r="D210" s="94" t="s">
        <v>35</v>
      </c>
      <c r="E210" s="109">
        <v>0.11</v>
      </c>
      <c r="F210" s="57">
        <f>PRODUCT(F204,E210)</f>
        <v>0.0132</v>
      </c>
      <c r="G210" s="57">
        <v>0</v>
      </c>
      <c r="H210" s="76">
        <f>PRODUCT(F210,G210)</f>
        <v>0</v>
      </c>
      <c r="I210" s="156"/>
      <c r="J210" s="163"/>
      <c r="K210" s="156"/>
      <c r="L210" s="156"/>
      <c r="M210" s="156"/>
      <c r="N210" s="156">
        <f>F210</f>
        <v>0.0132</v>
      </c>
      <c r="O210" s="164"/>
      <c r="P210" s="165"/>
      <c r="Q210" s="13"/>
      <c r="R210" s="13"/>
    </row>
    <row r="211" spans="1:16" s="62" customFormat="1" ht="25.5">
      <c r="A211" s="44">
        <v>3</v>
      </c>
      <c r="B211" s="53" t="s">
        <v>171</v>
      </c>
      <c r="C211" s="107" t="s">
        <v>172</v>
      </c>
      <c r="D211" s="38" t="s">
        <v>359</v>
      </c>
      <c r="E211" s="109"/>
      <c r="F211" s="166">
        <v>0.119</v>
      </c>
      <c r="G211" s="57"/>
      <c r="H211" s="167"/>
      <c r="I211"/>
      <c r="J211"/>
      <c r="K211"/>
      <c r="L211"/>
      <c r="M211"/>
      <c r="N211"/>
      <c r="O211"/>
      <c r="P211" s="7"/>
    </row>
    <row r="212" spans="1:16" s="62" customFormat="1" ht="12.75">
      <c r="A212" s="44"/>
      <c r="B212" s="94"/>
      <c r="C212" s="31" t="s">
        <v>18</v>
      </c>
      <c r="D212" s="32"/>
      <c r="E212" s="33">
        <f>0.94*80%</f>
        <v>0.752</v>
      </c>
      <c r="F212" s="70"/>
      <c r="G212" s="57"/>
      <c r="H212" s="167"/>
      <c r="I212"/>
      <c r="J212" s="86"/>
      <c r="K212"/>
      <c r="L212"/>
      <c r="M212"/>
      <c r="N212"/>
      <c r="O212"/>
      <c r="P212" s="7"/>
    </row>
    <row r="213" spans="1:16" s="62" customFormat="1" ht="12.75">
      <c r="A213" s="44"/>
      <c r="B213" s="94"/>
      <c r="C213" s="31" t="s">
        <v>19</v>
      </c>
      <c r="D213" s="38"/>
      <c r="E213" s="168">
        <v>0.68</v>
      </c>
      <c r="F213" s="63"/>
      <c r="G213" s="46"/>
      <c r="H213" s="169"/>
      <c r="I213" s="170"/>
      <c r="J213" s="170"/>
      <c r="K213" s="170"/>
      <c r="L213" s="171"/>
      <c r="M213" s="170"/>
      <c r="N213" s="170"/>
      <c r="O213" s="43">
        <f>SUM(H214:H216)*E213</f>
        <v>40.739886096</v>
      </c>
      <c r="P213" s="7"/>
    </row>
    <row r="214" spans="1:16" s="62" customFormat="1" ht="12.75">
      <c r="A214" s="44"/>
      <c r="B214" s="101">
        <v>1</v>
      </c>
      <c r="C214" s="172" t="s">
        <v>20</v>
      </c>
      <c r="D214" s="101" t="s">
        <v>21</v>
      </c>
      <c r="E214" s="103">
        <v>7.67</v>
      </c>
      <c r="F214" s="34">
        <f>PRODUCT(F211,E214)</f>
        <v>0.9127299999999999</v>
      </c>
      <c r="G214" s="46">
        <v>65.64</v>
      </c>
      <c r="H214" s="173">
        <f>PRODUCT(F214,G214)</f>
        <v>59.911597199999996</v>
      </c>
      <c r="I214" s="152"/>
      <c r="J214" s="152"/>
      <c r="K214" s="152"/>
      <c r="L214" s="43">
        <f>SUM(H214)</f>
        <v>59.911597199999996</v>
      </c>
      <c r="M214" s="152"/>
      <c r="N214" s="4"/>
      <c r="O214" s="4"/>
      <c r="P214" s="7"/>
    </row>
    <row r="215" spans="1:16" s="62" customFormat="1" ht="12.75">
      <c r="A215" s="44"/>
      <c r="B215" s="123"/>
      <c r="C215" s="172" t="s">
        <v>22</v>
      </c>
      <c r="D215" s="101" t="s">
        <v>165</v>
      </c>
      <c r="E215" s="103">
        <v>2</v>
      </c>
      <c r="F215" s="91"/>
      <c r="G215" s="34"/>
      <c r="H215" s="174"/>
      <c r="I215" s="152"/>
      <c r="J215" s="152"/>
      <c r="K215" s="43">
        <f>SUM(H214:H214)*E212</f>
        <v>45.0535210944</v>
      </c>
      <c r="L215" s="151"/>
      <c r="M215" s="152"/>
      <c r="N215" s="4"/>
      <c r="O215" s="4"/>
      <c r="P215" s="7"/>
    </row>
    <row r="216" spans="1:16" s="62" customFormat="1" ht="12.75">
      <c r="A216" s="44"/>
      <c r="B216" s="101">
        <v>4</v>
      </c>
      <c r="C216" s="172" t="s">
        <v>167</v>
      </c>
      <c r="D216" s="101" t="s">
        <v>165</v>
      </c>
      <c r="E216" s="103" t="s">
        <v>165</v>
      </c>
      <c r="F216" s="34"/>
      <c r="G216" s="46"/>
      <c r="H216" s="174"/>
      <c r="I216" s="7"/>
      <c r="J216" s="97">
        <f>SUM(H217:H217)</f>
        <v>0</v>
      </c>
      <c r="K216" s="7"/>
      <c r="L216" s="7"/>
      <c r="M216" s="7"/>
      <c r="N216" s="7"/>
      <c r="O216" s="7"/>
      <c r="P216" s="7"/>
    </row>
    <row r="217" spans="1:16" s="62" customFormat="1" ht="12.75">
      <c r="A217" s="44"/>
      <c r="B217" s="101" t="s">
        <v>33</v>
      </c>
      <c r="C217" s="172" t="s">
        <v>34</v>
      </c>
      <c r="D217" s="101" t="s">
        <v>35</v>
      </c>
      <c r="E217" s="103">
        <v>0.7</v>
      </c>
      <c r="F217" s="34">
        <f>PRODUCT(F211,E217)</f>
        <v>0.08329999999999999</v>
      </c>
      <c r="G217" s="46">
        <v>0</v>
      </c>
      <c r="H217" s="173">
        <f>PRODUCT(F217,G217)</f>
        <v>0</v>
      </c>
      <c r="I217" s="7"/>
      <c r="J217" s="7"/>
      <c r="K217" s="7"/>
      <c r="L217" s="7"/>
      <c r="M217" s="7"/>
      <c r="N217" s="7">
        <f>F217</f>
        <v>0.08329999999999999</v>
      </c>
      <c r="O217" s="7"/>
      <c r="P217" s="7"/>
    </row>
    <row r="218" spans="1:16" s="62" customFormat="1" ht="25.5">
      <c r="A218" s="44">
        <v>4</v>
      </c>
      <c r="B218" s="175" t="s">
        <v>173</v>
      </c>
      <c r="C218" s="107" t="s">
        <v>174</v>
      </c>
      <c r="D218" s="38" t="s">
        <v>359</v>
      </c>
      <c r="E218" s="109"/>
      <c r="F218" s="91">
        <v>0.119</v>
      </c>
      <c r="G218" s="46"/>
      <c r="H218" s="173"/>
      <c r="I218" s="7"/>
      <c r="J218" s="7"/>
      <c r="K218" s="43"/>
      <c r="L218" s="4"/>
      <c r="M218" s="4"/>
      <c r="N218" s="4"/>
      <c r="O218" s="7"/>
      <c r="P218" s="7"/>
    </row>
    <row r="219" spans="1:16" s="62" customFormat="1" ht="12.75">
      <c r="A219" s="44"/>
      <c r="B219" s="94"/>
      <c r="C219" s="31" t="s">
        <v>18</v>
      </c>
      <c r="D219" s="32"/>
      <c r="E219" s="33">
        <f>0.94*80%</f>
        <v>0.752</v>
      </c>
      <c r="F219" s="34"/>
      <c r="G219" s="46"/>
      <c r="H219" s="173"/>
      <c r="I219" s="7"/>
      <c r="J219" s="7"/>
      <c r="K219" s="4"/>
      <c r="L219" s="4"/>
      <c r="M219" s="43"/>
      <c r="N219" s="4"/>
      <c r="O219" s="7"/>
      <c r="P219" s="7"/>
    </row>
    <row r="220" spans="1:15" ht="12.75">
      <c r="A220" s="44"/>
      <c r="B220" s="94"/>
      <c r="C220" s="31" t="s">
        <v>19</v>
      </c>
      <c r="D220" s="38"/>
      <c r="E220" s="168">
        <v>0.68</v>
      </c>
      <c r="F220" s="176"/>
      <c r="G220" s="176"/>
      <c r="H220" s="177"/>
      <c r="I220" s="126"/>
      <c r="J220" s="126"/>
      <c r="K220" s="1"/>
      <c r="L220" s="1"/>
      <c r="M220" s="1"/>
      <c r="N220" s="130"/>
      <c r="O220" s="37">
        <f>SUM(H221:H223)*E220</f>
        <v>209.66922256</v>
      </c>
    </row>
    <row r="221" spans="1:16" s="13" customFormat="1" ht="12.75">
      <c r="A221" s="44"/>
      <c r="B221" s="101">
        <v>1</v>
      </c>
      <c r="C221" s="172" t="s">
        <v>20</v>
      </c>
      <c r="D221" s="101" t="s">
        <v>21</v>
      </c>
      <c r="E221" s="103">
        <v>38.3</v>
      </c>
      <c r="F221" s="57">
        <f>PRODUCT(F218,E221)</f>
        <v>4.5577</v>
      </c>
      <c r="G221" s="46">
        <v>65.64</v>
      </c>
      <c r="H221" s="178">
        <f>PRODUCT(F221,G221)</f>
        <v>299.167428</v>
      </c>
      <c r="I221" s="1"/>
      <c r="J221" s="1"/>
      <c r="K221" s="1"/>
      <c r="L221" s="37">
        <f>SUM(H221)</f>
        <v>299.167428</v>
      </c>
      <c r="M221" s="1"/>
      <c r="N221" s="1"/>
      <c r="O221"/>
      <c r="P221" s="7"/>
    </row>
    <row r="222" spans="1:16" s="13" customFormat="1" ht="12.75">
      <c r="A222" s="44"/>
      <c r="B222" s="123"/>
      <c r="C222" s="172" t="s">
        <v>22</v>
      </c>
      <c r="D222" s="101" t="s">
        <v>165</v>
      </c>
      <c r="E222" s="103">
        <v>2</v>
      </c>
      <c r="F222" s="57"/>
      <c r="G222" s="57"/>
      <c r="H222" s="178"/>
      <c r="I222" s="1"/>
      <c r="J222" s="1"/>
      <c r="K222" s="37">
        <f>SUM(H221:H223)*E219</f>
        <v>231.869493184</v>
      </c>
      <c r="L222" s="1"/>
      <c r="M222" s="1"/>
      <c r="N222" s="1"/>
      <c r="O222"/>
      <c r="P222" s="7"/>
    </row>
    <row r="223" spans="1:15" ht="12.75">
      <c r="A223" s="44"/>
      <c r="B223" s="101">
        <v>2</v>
      </c>
      <c r="C223" s="172" t="s">
        <v>23</v>
      </c>
      <c r="D223" s="101" t="s">
        <v>21</v>
      </c>
      <c r="E223" s="103">
        <v>0.86</v>
      </c>
      <c r="F223" s="57">
        <f>PRODUCT(F218,E223)</f>
        <v>0.10234</v>
      </c>
      <c r="G223" s="34">
        <v>89.6</v>
      </c>
      <c r="H223" s="178">
        <f>PRODUCT(F223,G223)</f>
        <v>9.169664</v>
      </c>
      <c r="I223" s="1"/>
      <c r="J223" s="1"/>
      <c r="K223" s="1"/>
      <c r="L223" s="1"/>
      <c r="M223" s="37">
        <f>SUM(H223)</f>
        <v>9.169664</v>
      </c>
      <c r="N223" s="1"/>
      <c r="O223"/>
    </row>
    <row r="224" spans="1:15" ht="12.75">
      <c r="A224" s="44"/>
      <c r="B224" s="101">
        <v>3</v>
      </c>
      <c r="C224" s="172" t="s">
        <v>166</v>
      </c>
      <c r="D224" s="101" t="s">
        <v>165</v>
      </c>
      <c r="E224" s="103" t="s">
        <v>165</v>
      </c>
      <c r="F224" s="56"/>
      <c r="G224" s="57"/>
      <c r="H224" s="179"/>
      <c r="I224" s="125">
        <f>SUM(H225)</f>
        <v>24.7744672</v>
      </c>
      <c r="J224" s="126"/>
      <c r="K224"/>
      <c r="L224"/>
      <c r="M224"/>
      <c r="N224"/>
      <c r="O224" s="127"/>
    </row>
    <row r="225" spans="1:15" ht="12.75">
      <c r="A225" s="44"/>
      <c r="B225" s="101">
        <v>31121</v>
      </c>
      <c r="C225" s="172" t="s">
        <v>25</v>
      </c>
      <c r="D225" s="101" t="s">
        <v>26</v>
      </c>
      <c r="E225" s="103">
        <v>0.86</v>
      </c>
      <c r="F225" s="57">
        <f>PRODUCT(F218,E225)</f>
        <v>0.10234</v>
      </c>
      <c r="G225" s="67">
        <v>242.08</v>
      </c>
      <c r="H225" s="178">
        <f>PRODUCT(F225,G225)</f>
        <v>24.7744672</v>
      </c>
      <c r="I225" s="126"/>
      <c r="J225" s="126"/>
      <c r="O225" s="127"/>
    </row>
    <row r="226" spans="1:10" ht="12.75">
      <c r="A226" s="44"/>
      <c r="B226" s="101">
        <v>4</v>
      </c>
      <c r="C226" s="172" t="s">
        <v>167</v>
      </c>
      <c r="D226" s="101" t="s">
        <v>165</v>
      </c>
      <c r="E226" s="103" t="s">
        <v>165</v>
      </c>
      <c r="F226" s="34"/>
      <c r="G226" s="34"/>
      <c r="H226" s="173"/>
      <c r="J226" s="97">
        <f>SUM(H227)</f>
        <v>0</v>
      </c>
    </row>
    <row r="227" spans="1:14" ht="12.75">
      <c r="A227" s="44"/>
      <c r="B227" s="101" t="s">
        <v>33</v>
      </c>
      <c r="C227" s="172" t="s">
        <v>34</v>
      </c>
      <c r="D227" s="101" t="s">
        <v>35</v>
      </c>
      <c r="E227" s="103">
        <v>2.49</v>
      </c>
      <c r="F227" s="34">
        <f>E227*F218</f>
        <v>0.29631</v>
      </c>
      <c r="G227" s="34">
        <v>0</v>
      </c>
      <c r="H227" s="178">
        <f>PRODUCT(F227,G227)</f>
        <v>0</v>
      </c>
      <c r="N227" s="7">
        <f>F227</f>
        <v>0.29631</v>
      </c>
    </row>
    <row r="228" spans="1:13" ht="25.5">
      <c r="A228" s="44">
        <v>5</v>
      </c>
      <c r="B228" s="53" t="s">
        <v>175</v>
      </c>
      <c r="C228" s="54" t="s">
        <v>176</v>
      </c>
      <c r="D228" s="38" t="s">
        <v>359</v>
      </c>
      <c r="E228" s="109"/>
      <c r="F228" s="91">
        <v>0.171</v>
      </c>
      <c r="G228" s="34"/>
      <c r="H228" s="173"/>
      <c r="M228" s="97"/>
    </row>
    <row r="229" spans="1:8" ht="12.75">
      <c r="A229" s="44"/>
      <c r="B229" s="94"/>
      <c r="C229" s="31" t="s">
        <v>18</v>
      </c>
      <c r="D229" s="32"/>
      <c r="E229" s="33">
        <f>0.94*80%</f>
        <v>0.752</v>
      </c>
      <c r="F229" s="34"/>
      <c r="G229" s="34"/>
      <c r="H229" s="173"/>
    </row>
    <row r="230" spans="1:16" ht="12.75">
      <c r="A230" s="44"/>
      <c r="B230" s="94"/>
      <c r="C230" s="31" t="s">
        <v>19</v>
      </c>
      <c r="D230" s="38"/>
      <c r="E230" s="168">
        <v>0.68</v>
      </c>
      <c r="F230" s="176"/>
      <c r="G230" s="176"/>
      <c r="H230" s="177"/>
      <c r="I230" s="126"/>
      <c r="J230" s="126"/>
      <c r="K230" s="1"/>
      <c r="L230" s="1"/>
      <c r="M230" s="1"/>
      <c r="N230" s="130"/>
      <c r="O230" s="37">
        <f>SUM(H231:H233)*E230</f>
        <v>599.8844850840001</v>
      </c>
      <c r="P230" s="7"/>
    </row>
    <row r="231" spans="1:16" ht="12.75">
      <c r="A231" s="44"/>
      <c r="B231" s="101">
        <v>1</v>
      </c>
      <c r="C231" s="172" t="s">
        <v>20</v>
      </c>
      <c r="D231" s="101" t="s">
        <v>21</v>
      </c>
      <c r="E231" s="103">
        <v>69.87</v>
      </c>
      <c r="F231" s="57">
        <f>PRODUCT(F228,E231)</f>
        <v>11.947770000000002</v>
      </c>
      <c r="G231" s="57">
        <v>71.99</v>
      </c>
      <c r="H231" s="178">
        <f>PRODUCT(F231,G231)</f>
        <v>860.1199623000001</v>
      </c>
      <c r="I231" s="1"/>
      <c r="J231" s="1"/>
      <c r="K231" s="1"/>
      <c r="L231" s="37">
        <f>SUM(H231)</f>
        <v>860.1199623000001</v>
      </c>
      <c r="M231" s="1"/>
      <c r="N231" s="1"/>
      <c r="P231" s="7"/>
    </row>
    <row r="232" spans="1:16" ht="12.75">
      <c r="A232" s="44"/>
      <c r="B232" s="123"/>
      <c r="C232" s="172" t="s">
        <v>22</v>
      </c>
      <c r="D232" s="101" t="s">
        <v>165</v>
      </c>
      <c r="E232" s="103">
        <v>3</v>
      </c>
      <c r="F232" s="57"/>
      <c r="G232" s="57"/>
      <c r="H232" s="178"/>
      <c r="I232" s="1"/>
      <c r="J232" s="1"/>
      <c r="K232" s="37">
        <f>SUM(H231:H233)*E229</f>
        <v>663.4016658576</v>
      </c>
      <c r="L232" s="1"/>
      <c r="M232" s="1"/>
      <c r="N232" s="1"/>
      <c r="P232" s="7"/>
    </row>
    <row r="233" spans="1:16" ht="12.75">
      <c r="A233" s="44"/>
      <c r="B233" s="101">
        <v>2</v>
      </c>
      <c r="C233" s="172" t="s">
        <v>23</v>
      </c>
      <c r="D233" s="101" t="s">
        <v>21</v>
      </c>
      <c r="E233" s="103">
        <v>1.44</v>
      </c>
      <c r="F233" s="57">
        <f>PRODUCT(F228,E233)</f>
        <v>0.24624000000000001</v>
      </c>
      <c r="G233" s="34">
        <v>89.6</v>
      </c>
      <c r="H233" s="178">
        <f>PRODUCT(F233,G233)</f>
        <v>22.063104</v>
      </c>
      <c r="I233" s="1"/>
      <c r="J233" s="1"/>
      <c r="K233" s="1"/>
      <c r="L233" s="1"/>
      <c r="M233" s="37">
        <f>SUM(H233)</f>
        <v>22.063104</v>
      </c>
      <c r="N233" s="1"/>
      <c r="P233" s="7"/>
    </row>
    <row r="234" spans="1:15" ht="12.75">
      <c r="A234" s="44"/>
      <c r="B234" s="101">
        <v>3</v>
      </c>
      <c r="C234" s="172" t="s">
        <v>166</v>
      </c>
      <c r="D234" s="101" t="s">
        <v>165</v>
      </c>
      <c r="E234" s="103" t="s">
        <v>165</v>
      </c>
      <c r="F234" s="56"/>
      <c r="G234" s="56"/>
      <c r="H234" s="179"/>
      <c r="I234" s="125">
        <f>SUM(H235)</f>
        <v>59.609779200000006</v>
      </c>
      <c r="J234" s="126"/>
      <c r="O234" s="127"/>
    </row>
    <row r="235" spans="1:15" ht="12.75">
      <c r="A235" s="44"/>
      <c r="B235" s="101">
        <v>31121</v>
      </c>
      <c r="C235" s="172" t="s">
        <v>25</v>
      </c>
      <c r="D235" s="101" t="s">
        <v>26</v>
      </c>
      <c r="E235" s="103">
        <v>1.44</v>
      </c>
      <c r="F235" s="57">
        <f>PRODUCT(F228,E235)</f>
        <v>0.24624000000000001</v>
      </c>
      <c r="G235" s="67">
        <v>242.08</v>
      </c>
      <c r="H235" s="178">
        <f>PRODUCT(F235,G235)</f>
        <v>59.609779200000006</v>
      </c>
      <c r="I235" s="126"/>
      <c r="J235" s="126"/>
      <c r="O235" s="127"/>
    </row>
    <row r="236" spans="1:10" ht="12.75">
      <c r="A236" s="44"/>
      <c r="B236" s="101">
        <v>4</v>
      </c>
      <c r="C236" s="172" t="s">
        <v>167</v>
      </c>
      <c r="D236" s="101" t="s">
        <v>165</v>
      </c>
      <c r="E236" s="109"/>
      <c r="F236" s="34"/>
      <c r="G236" s="34"/>
      <c r="H236" s="173"/>
      <c r="J236" s="97">
        <f>SUM(H237)</f>
        <v>0</v>
      </c>
    </row>
    <row r="237" spans="1:16" s="13" customFormat="1" ht="12.75">
      <c r="A237" s="44"/>
      <c r="B237" s="101" t="s">
        <v>33</v>
      </c>
      <c r="C237" s="172" t="s">
        <v>34</v>
      </c>
      <c r="D237" s="101" t="s">
        <v>35</v>
      </c>
      <c r="E237" s="109">
        <v>5.2</v>
      </c>
      <c r="F237" s="34">
        <f>E237*F228</f>
        <v>0.8892000000000001</v>
      </c>
      <c r="G237" s="34">
        <v>0</v>
      </c>
      <c r="H237" s="178">
        <f>PRODUCT(F237,G237)</f>
        <v>0</v>
      </c>
      <c r="I237" s="7"/>
      <c r="J237" s="7"/>
      <c r="K237" s="7"/>
      <c r="L237" s="7"/>
      <c r="M237" s="7"/>
      <c r="N237" s="7">
        <f>F237</f>
        <v>0.8892000000000001</v>
      </c>
      <c r="O237" s="7"/>
      <c r="P237" s="7"/>
    </row>
    <row r="238" spans="1:14" s="13" customFormat="1" ht="25.5">
      <c r="A238" s="44">
        <v>6</v>
      </c>
      <c r="B238" s="38" t="s">
        <v>177</v>
      </c>
      <c r="C238" s="180" t="s">
        <v>178</v>
      </c>
      <c r="D238" s="114" t="s">
        <v>361</v>
      </c>
      <c r="E238" s="45"/>
      <c r="F238" s="91">
        <f>29*0.1</f>
        <v>2.9000000000000004</v>
      </c>
      <c r="G238" s="34"/>
      <c r="H238" s="36"/>
      <c r="I238" s="151"/>
      <c r="J238" s="152"/>
      <c r="K238" s="152"/>
      <c r="L238" s="151"/>
      <c r="M238" s="152"/>
      <c r="N238" s="152"/>
    </row>
    <row r="239" spans="1:14" s="13" customFormat="1" ht="12.75">
      <c r="A239" s="44"/>
      <c r="B239" s="30" t="s">
        <v>38</v>
      </c>
      <c r="C239" s="31" t="s">
        <v>18</v>
      </c>
      <c r="D239" s="32"/>
      <c r="E239" s="33">
        <f>0.94*110.7%</f>
        <v>1.0405799999999998</v>
      </c>
      <c r="F239" s="34"/>
      <c r="G239" s="57"/>
      <c r="H239" s="36"/>
      <c r="I239" s="4"/>
      <c r="J239" s="4"/>
      <c r="K239" s="4"/>
      <c r="L239" s="43"/>
      <c r="M239" s="4"/>
      <c r="N239" s="4"/>
    </row>
    <row r="240" spans="1:15" s="13" customFormat="1" ht="12.75">
      <c r="A240" s="44"/>
      <c r="B240" s="32" t="s">
        <v>39</v>
      </c>
      <c r="C240" s="31" t="s">
        <v>19</v>
      </c>
      <c r="D240" s="38"/>
      <c r="E240" s="33">
        <v>0.6375</v>
      </c>
      <c r="F240" s="63"/>
      <c r="G240" s="46"/>
      <c r="H240" s="40"/>
      <c r="I240" s="170"/>
      <c r="J240" s="170"/>
      <c r="K240" s="170"/>
      <c r="L240" s="171"/>
      <c r="M240" s="170"/>
      <c r="N240" s="170"/>
      <c r="O240" s="43">
        <f>SUM(H241:H243)*E240</f>
        <v>542.343384</v>
      </c>
    </row>
    <row r="241" spans="1:15" s="13" customFormat="1" ht="12.75">
      <c r="A241" s="44"/>
      <c r="B241" s="101">
        <v>1</v>
      </c>
      <c r="C241" s="172" t="s">
        <v>20</v>
      </c>
      <c r="D241" s="101" t="s">
        <v>21</v>
      </c>
      <c r="E241" s="103">
        <v>3.82</v>
      </c>
      <c r="F241" s="34">
        <f>E241*F238</f>
        <v>11.078000000000001</v>
      </c>
      <c r="G241" s="34">
        <v>66.24</v>
      </c>
      <c r="H241" s="173">
        <f>PRODUCT(F241,G241)</f>
        <v>733.80672</v>
      </c>
      <c r="I241" s="41"/>
      <c r="J241" s="41"/>
      <c r="K241" s="4"/>
      <c r="L241" s="43">
        <f>SUM(H241)</f>
        <v>733.80672</v>
      </c>
      <c r="M241" s="4"/>
      <c r="N241" s="4"/>
      <c r="O241" s="4"/>
    </row>
    <row r="242" spans="1:15" s="13" customFormat="1" ht="12.75">
      <c r="A242" s="44"/>
      <c r="B242" s="123"/>
      <c r="C242" s="172" t="s">
        <v>22</v>
      </c>
      <c r="D242" s="101"/>
      <c r="E242" s="103">
        <v>2.1</v>
      </c>
      <c r="F242" s="91"/>
      <c r="G242" s="34"/>
      <c r="H242" s="36"/>
      <c r="K242" s="43">
        <f>SUM(H241:H243)*E239</f>
        <v>885.2575349375999</v>
      </c>
      <c r="L242" s="4"/>
      <c r="M242" s="4"/>
      <c r="N242" s="4"/>
      <c r="O242" s="4"/>
    </row>
    <row r="243" spans="1:13" s="13" customFormat="1" ht="12.75">
      <c r="A243" s="44"/>
      <c r="B243" s="101">
        <v>2</v>
      </c>
      <c r="C243" s="172" t="s">
        <v>23</v>
      </c>
      <c r="D243" s="101" t="s">
        <v>21</v>
      </c>
      <c r="E243" s="103">
        <v>0.45</v>
      </c>
      <c r="F243" s="34">
        <f>E243*F238</f>
        <v>1.3050000000000002</v>
      </c>
      <c r="G243" s="57">
        <v>89.6</v>
      </c>
      <c r="H243" s="173">
        <f>PRODUCT(F243,G243)</f>
        <v>116.92800000000001</v>
      </c>
      <c r="K243" s="4"/>
      <c r="L243" s="4"/>
      <c r="M243" s="43">
        <f>SUM(H243)</f>
        <v>116.92800000000001</v>
      </c>
    </row>
    <row r="244" spans="1:10" s="13" customFormat="1" ht="12.75">
      <c r="A244" s="44"/>
      <c r="B244" s="101">
        <v>3</v>
      </c>
      <c r="C244" s="172" t="s">
        <v>24</v>
      </c>
      <c r="D244" s="101"/>
      <c r="E244" s="103"/>
      <c r="F244" s="34"/>
      <c r="G244" s="46"/>
      <c r="H244" s="36"/>
      <c r="I244" s="181">
        <f>SUM(H245)</f>
        <v>335.03787000000005</v>
      </c>
      <c r="J244" s="137"/>
    </row>
    <row r="245" spans="1:10" s="13" customFormat="1" ht="12.75">
      <c r="A245" s="44"/>
      <c r="B245" s="101">
        <v>30101</v>
      </c>
      <c r="C245" s="172" t="s">
        <v>138</v>
      </c>
      <c r="D245" s="101" t="s">
        <v>26</v>
      </c>
      <c r="E245" s="103">
        <v>0.27</v>
      </c>
      <c r="F245" s="34">
        <f>E245*F238</f>
        <v>0.7830000000000001</v>
      </c>
      <c r="G245" s="46">
        <v>427.89</v>
      </c>
      <c r="H245" s="173">
        <f>PRODUCT(F245,G245)</f>
        <v>335.03787000000005</v>
      </c>
      <c r="J245" s="137"/>
    </row>
    <row r="246" spans="1:14" s="13" customFormat="1" ht="12.75" customHeight="1">
      <c r="A246" s="44"/>
      <c r="B246" s="101">
        <v>31121</v>
      </c>
      <c r="C246" s="172" t="s">
        <v>139</v>
      </c>
      <c r="D246" s="101" t="s">
        <v>26</v>
      </c>
      <c r="E246" s="103">
        <v>0.18</v>
      </c>
      <c r="F246" s="34">
        <f>E246*F238</f>
        <v>0.522</v>
      </c>
      <c r="G246" s="46">
        <v>242.08</v>
      </c>
      <c r="H246" s="173">
        <f>PRODUCT(F246,G246)</f>
        <v>126.36576000000001</v>
      </c>
      <c r="J246" s="182"/>
      <c r="K246" s="4"/>
      <c r="L246" s="4"/>
      <c r="M246" s="43"/>
      <c r="N246" s="4"/>
    </row>
    <row r="247" spans="1:14" s="13" customFormat="1" ht="12.75">
      <c r="A247" s="44"/>
      <c r="B247" s="101">
        <v>4</v>
      </c>
      <c r="C247" s="172" t="s">
        <v>27</v>
      </c>
      <c r="D247" s="101"/>
      <c r="E247" s="103"/>
      <c r="F247" s="34"/>
      <c r="G247" s="46"/>
      <c r="H247" s="36"/>
      <c r="I247" s="151"/>
      <c r="J247" s="183">
        <f>SUM(H248)</f>
        <v>3925.9011000000014</v>
      </c>
      <c r="K247" s="152"/>
      <c r="L247" s="151"/>
      <c r="M247" s="152"/>
      <c r="N247" s="152"/>
    </row>
    <row r="248" spans="1:16" s="13" customFormat="1" ht="12.75">
      <c r="A248" s="44"/>
      <c r="B248" s="101" t="s">
        <v>179</v>
      </c>
      <c r="C248" s="172" t="s">
        <v>180</v>
      </c>
      <c r="D248" s="101" t="s">
        <v>30</v>
      </c>
      <c r="E248" s="103">
        <v>1.1</v>
      </c>
      <c r="F248" s="34">
        <f>E248*F238</f>
        <v>3.190000000000001</v>
      </c>
      <c r="G248" s="46">
        <v>1230.69</v>
      </c>
      <c r="H248" s="173">
        <f>PRODUCT(F248,G248)</f>
        <v>3925.9011000000014</v>
      </c>
      <c r="K248" s="137"/>
      <c r="N248" s="170"/>
      <c r="P248"/>
    </row>
    <row r="249" spans="1:15" ht="25.5">
      <c r="A249" s="92">
        <v>7</v>
      </c>
      <c r="B249" s="53" t="s">
        <v>181</v>
      </c>
      <c r="C249" s="107" t="s">
        <v>182</v>
      </c>
      <c r="D249" s="38" t="s">
        <v>359</v>
      </c>
      <c r="E249" s="109"/>
      <c r="F249" s="91">
        <v>0.29</v>
      </c>
      <c r="G249" s="34"/>
      <c r="H249" s="36"/>
      <c r="O249" s="4"/>
    </row>
    <row r="250" spans="1:14" ht="12.75">
      <c r="A250" s="92"/>
      <c r="B250" s="30" t="s">
        <v>38</v>
      </c>
      <c r="C250" s="31" t="s">
        <v>18</v>
      </c>
      <c r="D250" s="32"/>
      <c r="E250" s="33">
        <f>0.94*110.7%</f>
        <v>1.0405799999999998</v>
      </c>
      <c r="F250" s="34"/>
      <c r="G250" s="34"/>
      <c r="H250" s="36"/>
      <c r="I250" s="37"/>
      <c r="J250" s="1"/>
      <c r="K250" s="1"/>
      <c r="L250" s="37"/>
      <c r="M250" s="1"/>
      <c r="N250" s="1"/>
    </row>
    <row r="251" spans="1:15" ht="12.75">
      <c r="A251" s="92"/>
      <c r="B251" s="32" t="s">
        <v>39</v>
      </c>
      <c r="C251" s="31" t="s">
        <v>19</v>
      </c>
      <c r="D251" s="38"/>
      <c r="E251" s="33">
        <v>0.6375</v>
      </c>
      <c r="F251" s="34"/>
      <c r="G251" s="34"/>
      <c r="H251" s="40"/>
      <c r="I251" s="41"/>
      <c r="J251" s="41"/>
      <c r="K251" s="4"/>
      <c r="L251" s="4"/>
      <c r="M251" s="4"/>
      <c r="N251" s="42"/>
      <c r="O251" s="43">
        <f>SUM(H252:H254)*E251</f>
        <v>760.1107505512498</v>
      </c>
    </row>
    <row r="252" spans="1:14" ht="12.75">
      <c r="A252" s="92"/>
      <c r="B252" s="94">
        <v>1</v>
      </c>
      <c r="C252" s="104" t="s">
        <v>20</v>
      </c>
      <c r="D252" s="94" t="s">
        <v>21</v>
      </c>
      <c r="E252" s="55">
        <f>1.2*1.15*40.43</f>
        <v>55.7934</v>
      </c>
      <c r="F252" s="184">
        <f>PRODUCT(F249,E252)</f>
        <v>16.180086</v>
      </c>
      <c r="G252" s="46">
        <v>66.85</v>
      </c>
      <c r="H252" s="68">
        <f>PRODUCT(F252,G252)</f>
        <v>1081.6387490999998</v>
      </c>
      <c r="I252" s="41"/>
      <c r="J252" s="41"/>
      <c r="K252" s="4"/>
      <c r="L252" s="43">
        <f>SUM(H252)</f>
        <v>1081.6387490999998</v>
      </c>
      <c r="M252" s="4"/>
      <c r="N252" s="4"/>
    </row>
    <row r="253" spans="1:14" ht="12.75">
      <c r="A253" s="92"/>
      <c r="B253" s="69"/>
      <c r="C253" s="104" t="s">
        <v>22</v>
      </c>
      <c r="D253" s="94"/>
      <c r="E253" s="55">
        <v>2.2</v>
      </c>
      <c r="F253" s="184"/>
      <c r="G253" s="184"/>
      <c r="H253" s="68"/>
      <c r="K253" s="43">
        <f>SUM(H252:H254)*E250</f>
        <v>1240.7153644056775</v>
      </c>
      <c r="L253" s="4"/>
      <c r="M253" s="4"/>
      <c r="N253" s="4"/>
    </row>
    <row r="254" spans="1:14" ht="12.75">
      <c r="A254" s="44"/>
      <c r="B254" s="94">
        <v>2</v>
      </c>
      <c r="C254" s="104" t="s">
        <v>23</v>
      </c>
      <c r="D254" s="94" t="s">
        <v>21</v>
      </c>
      <c r="E254" s="55">
        <f>1.2*1.25*2.84</f>
        <v>4.26</v>
      </c>
      <c r="F254" s="184">
        <f>PRODUCT(F249,E254)</f>
        <v>1.2353999999999998</v>
      </c>
      <c r="G254" s="96">
        <v>89.6</v>
      </c>
      <c r="H254" s="68">
        <f>PRODUCT(F254,G254)</f>
        <v>110.69183999999998</v>
      </c>
      <c r="K254" s="4"/>
      <c r="L254" s="4"/>
      <c r="M254" s="43">
        <f>SUM(H254)</f>
        <v>110.69183999999998</v>
      </c>
      <c r="N254" s="4"/>
    </row>
    <row r="255" spans="1:14" ht="12.75">
      <c r="A255" s="44"/>
      <c r="B255" s="32">
        <v>3</v>
      </c>
      <c r="C255" s="35" t="s">
        <v>24</v>
      </c>
      <c r="D255" s="185"/>
      <c r="E255" s="100"/>
      <c r="F255" s="186"/>
      <c r="G255" s="186"/>
      <c r="H255" s="187"/>
      <c r="I255" s="137">
        <f>SUM(H256:H259)</f>
        <v>418.5559995</v>
      </c>
      <c r="J255" s="13"/>
      <c r="K255" s="13"/>
      <c r="L255" s="13"/>
      <c r="M255" s="13"/>
      <c r="N255" s="13"/>
    </row>
    <row r="256" spans="1:14" ht="12.75">
      <c r="A256" s="44"/>
      <c r="B256" s="32">
        <v>50102</v>
      </c>
      <c r="C256" s="31" t="s">
        <v>183</v>
      </c>
      <c r="D256" s="32" t="s">
        <v>26</v>
      </c>
      <c r="E256" s="100">
        <f>1.2*1.25*0.81</f>
        <v>1.215</v>
      </c>
      <c r="F256" s="184">
        <f>PRODUCT(F249,E256)</f>
        <v>0.35235</v>
      </c>
      <c r="G256" s="46">
        <v>286.57</v>
      </c>
      <c r="H256" s="68">
        <f>PRODUCT(F256,G256)</f>
        <v>100.9729395</v>
      </c>
      <c r="I256" s="13"/>
      <c r="J256" s="13"/>
      <c r="K256" s="13"/>
      <c r="L256" s="13"/>
      <c r="M256" s="13"/>
      <c r="N256" s="13"/>
    </row>
    <row r="257" spans="1:14" ht="12.75">
      <c r="A257" s="44"/>
      <c r="B257" s="32">
        <v>30101</v>
      </c>
      <c r="C257" s="31" t="s">
        <v>138</v>
      </c>
      <c r="D257" s="32" t="s">
        <v>26</v>
      </c>
      <c r="E257" s="100">
        <f>1.2*1.25*1.2</f>
        <v>1.7999999999999998</v>
      </c>
      <c r="F257" s="184">
        <f>PRODUCT(F249,E257)</f>
        <v>0.5219999999999999</v>
      </c>
      <c r="G257" s="46">
        <v>427.89</v>
      </c>
      <c r="H257" s="68">
        <f>PRODUCT(F257,G257)</f>
        <v>223.35857999999996</v>
      </c>
      <c r="I257" s="13"/>
      <c r="J257" s="13"/>
      <c r="K257" s="13"/>
      <c r="L257" s="13"/>
      <c r="M257" s="13"/>
      <c r="N257" s="13"/>
    </row>
    <row r="258" spans="1:14" ht="12.75">
      <c r="A258" s="44"/>
      <c r="B258" s="32">
        <v>111301</v>
      </c>
      <c r="C258" s="31" t="s">
        <v>184</v>
      </c>
      <c r="D258" s="32" t="s">
        <v>26</v>
      </c>
      <c r="E258" s="100">
        <f>1.2*1.25*3.96</f>
        <v>5.9399999999999995</v>
      </c>
      <c r="F258" s="184">
        <f>PRODUCT(F249,E258)</f>
        <v>1.7225999999999997</v>
      </c>
      <c r="G258" s="184">
        <v>3.96</v>
      </c>
      <c r="H258" s="68">
        <f>PRODUCT(F258,G258)</f>
        <v>6.821495999999999</v>
      </c>
      <c r="I258" s="13"/>
      <c r="J258" s="13"/>
      <c r="K258" s="13"/>
      <c r="L258" s="13"/>
      <c r="M258" s="13"/>
      <c r="N258" s="13"/>
    </row>
    <row r="259" spans="1:14" ht="12.75">
      <c r="A259" s="44"/>
      <c r="B259" s="48">
        <v>31121</v>
      </c>
      <c r="C259" s="35" t="s">
        <v>82</v>
      </c>
      <c r="D259" s="32" t="s">
        <v>26</v>
      </c>
      <c r="E259" s="100">
        <f>1.2*1.25*0.83</f>
        <v>1.2449999999999999</v>
      </c>
      <c r="F259" s="184">
        <f>PRODUCT(F249,E259)</f>
        <v>0.3610499999999999</v>
      </c>
      <c r="G259" s="67">
        <v>242.08</v>
      </c>
      <c r="H259" s="68">
        <f>PRODUCT(F259,G259)</f>
        <v>87.40298399999999</v>
      </c>
      <c r="I259" s="13"/>
      <c r="J259" s="13"/>
      <c r="K259" s="13"/>
      <c r="L259" s="13"/>
      <c r="M259" s="13"/>
      <c r="N259" s="13"/>
    </row>
    <row r="260" spans="1:15" ht="12.75">
      <c r="A260" s="44"/>
      <c r="B260" s="32">
        <v>4</v>
      </c>
      <c r="C260" s="35" t="s">
        <v>27</v>
      </c>
      <c r="D260" s="32"/>
      <c r="E260" s="100"/>
      <c r="F260" s="184"/>
      <c r="G260" s="91"/>
      <c r="H260" s="40"/>
      <c r="I260" s="41"/>
      <c r="J260" s="188">
        <f>SUM(H261:H262)</f>
        <v>3599.7292259999995</v>
      </c>
      <c r="K260" s="4"/>
      <c r="L260" s="4"/>
      <c r="M260" s="4"/>
      <c r="N260" s="42"/>
      <c r="O260" s="43"/>
    </row>
    <row r="261" spans="1:14" ht="12.75">
      <c r="A261" s="44"/>
      <c r="B261" s="32" t="s">
        <v>185</v>
      </c>
      <c r="C261" s="35" t="s">
        <v>186</v>
      </c>
      <c r="D261" s="32" t="s">
        <v>30</v>
      </c>
      <c r="E261" s="100">
        <v>3.06</v>
      </c>
      <c r="F261" s="184">
        <f>PRODUCT(F249,E261)</f>
        <v>0.8874</v>
      </c>
      <c r="G261" s="46">
        <v>3578.6</v>
      </c>
      <c r="H261" s="68">
        <f>PRODUCT(F261,G261)</f>
        <v>3175.6496399999996</v>
      </c>
      <c r="K261" s="43"/>
      <c r="L261" s="4"/>
      <c r="M261" s="4"/>
      <c r="N261" s="4"/>
    </row>
    <row r="262" spans="1:14" ht="12.75">
      <c r="A262" s="44"/>
      <c r="B262" s="32" t="s">
        <v>187</v>
      </c>
      <c r="C262" s="35" t="s">
        <v>188</v>
      </c>
      <c r="D262" s="32" t="s">
        <v>30</v>
      </c>
      <c r="E262" s="100">
        <v>3.06</v>
      </c>
      <c r="F262" s="184">
        <f>PRODUCT(F249,E262)</f>
        <v>0.8874</v>
      </c>
      <c r="G262" s="189">
        <v>477.89</v>
      </c>
      <c r="H262" s="68">
        <f>PRODUCT(F262,G262)</f>
        <v>424.07958599999995</v>
      </c>
      <c r="K262" s="4"/>
      <c r="L262" s="4"/>
      <c r="M262" s="43"/>
      <c r="N262" s="4"/>
    </row>
    <row r="263" spans="1:14" ht="12.75">
      <c r="A263" s="44"/>
      <c r="B263" s="32" t="s">
        <v>146</v>
      </c>
      <c r="C263" s="35" t="s">
        <v>32</v>
      </c>
      <c r="D263" s="32" t="s">
        <v>30</v>
      </c>
      <c r="E263" s="100">
        <v>3.5</v>
      </c>
      <c r="F263" s="184">
        <f>PRODUCT(F249,E263)</f>
        <v>1.015</v>
      </c>
      <c r="G263" s="189">
        <v>0</v>
      </c>
      <c r="H263" s="68">
        <f>PRODUCT(F263,G263)</f>
        <v>0</v>
      </c>
      <c r="I263" s="4"/>
      <c r="J263" s="151"/>
      <c r="K263" s="4"/>
      <c r="L263" s="4"/>
      <c r="M263" s="4"/>
      <c r="N263" s="43"/>
    </row>
    <row r="264" spans="1:16" ht="25.5">
      <c r="A264" s="190">
        <v>8</v>
      </c>
      <c r="B264" s="191" t="s">
        <v>189</v>
      </c>
      <c r="C264" s="192" t="s">
        <v>190</v>
      </c>
      <c r="D264" s="191" t="s">
        <v>362</v>
      </c>
      <c r="E264" s="193"/>
      <c r="F264" s="194">
        <f>F249</f>
        <v>0.29</v>
      </c>
      <c r="G264" s="195"/>
      <c r="H264" s="196"/>
      <c r="I264" s="197"/>
      <c r="J264" s="197"/>
      <c r="K264" s="197"/>
      <c r="L264" s="197"/>
      <c r="M264" s="197"/>
      <c r="N264" s="197"/>
      <c r="O264" s="83"/>
      <c r="P264"/>
    </row>
    <row r="265" spans="1:16" ht="12.75">
      <c r="A265" s="198"/>
      <c r="B265" s="199" t="s">
        <v>109</v>
      </c>
      <c r="C265" s="193" t="s">
        <v>191</v>
      </c>
      <c r="D265" s="199"/>
      <c r="E265" s="200">
        <f>0.94*110.7%</f>
        <v>1.0405799999999998</v>
      </c>
      <c r="F265" s="195"/>
      <c r="G265" s="195"/>
      <c r="H265" s="196"/>
      <c r="I265" s="197"/>
      <c r="J265" s="197"/>
      <c r="K265" s="197"/>
      <c r="L265" s="197"/>
      <c r="M265" s="197"/>
      <c r="N265" s="197"/>
      <c r="O265" s="83"/>
      <c r="P265"/>
    </row>
    <row r="266" spans="1:16" ht="12.75">
      <c r="A266" s="198"/>
      <c r="B266" s="32" t="s">
        <v>39</v>
      </c>
      <c r="C266" s="201" t="s">
        <v>19</v>
      </c>
      <c r="D266" s="191"/>
      <c r="E266" s="200">
        <v>0.6375</v>
      </c>
      <c r="F266" s="202"/>
      <c r="G266" s="203"/>
      <c r="H266" s="204"/>
      <c r="I266" s="83"/>
      <c r="J266" s="83"/>
      <c r="K266" s="83"/>
      <c r="L266" s="84"/>
      <c r="M266" s="83"/>
      <c r="N266" s="83"/>
      <c r="O266" s="84">
        <f>SUM(H267:H269)*E266</f>
        <v>2511.491637825</v>
      </c>
      <c r="P266"/>
    </row>
    <row r="267" spans="1:16" ht="12.75">
      <c r="A267" s="198"/>
      <c r="B267" s="199">
        <v>1</v>
      </c>
      <c r="C267" s="205" t="s">
        <v>20</v>
      </c>
      <c r="D267" s="199" t="s">
        <v>21</v>
      </c>
      <c r="E267" s="193">
        <f>1.2*1.25*119.78</f>
        <v>179.67000000000002</v>
      </c>
      <c r="F267" s="195">
        <f>PRODUCT(F264,E267)</f>
        <v>52.1043</v>
      </c>
      <c r="G267" s="88">
        <v>73.62</v>
      </c>
      <c r="H267" s="206">
        <f>PRODUCT(F267,G267)</f>
        <v>3835.9185660000003</v>
      </c>
      <c r="I267" s="197"/>
      <c r="J267" s="197"/>
      <c r="K267" s="197"/>
      <c r="L267" s="207">
        <f>SUM(H267)</f>
        <v>3835.9185660000003</v>
      </c>
      <c r="M267" s="197"/>
      <c r="N267" s="197"/>
      <c r="O267" s="83"/>
      <c r="P267"/>
    </row>
    <row r="268" spans="1:16" ht="12.75">
      <c r="A268" s="198"/>
      <c r="B268" s="208"/>
      <c r="C268" s="205" t="s">
        <v>22</v>
      </c>
      <c r="D268" s="199"/>
      <c r="E268" s="193">
        <v>3.2</v>
      </c>
      <c r="F268" s="195"/>
      <c r="G268" s="203"/>
      <c r="H268" s="206"/>
      <c r="I268" s="197"/>
      <c r="J268" s="197"/>
      <c r="K268" s="207">
        <f>SUM(H267:H269)*E265</f>
        <v>4099.463479981079</v>
      </c>
      <c r="L268" s="197"/>
      <c r="M268" s="197"/>
      <c r="N268" s="197"/>
      <c r="O268" s="83"/>
      <c r="P268"/>
    </row>
    <row r="269" spans="1:16" ht="12.75">
      <c r="A269" s="198"/>
      <c r="B269" s="199">
        <v>2</v>
      </c>
      <c r="C269" s="205" t="s">
        <v>23</v>
      </c>
      <c r="D269" s="199" t="s">
        <v>21</v>
      </c>
      <c r="E269" s="193">
        <f>1.2*1.25*2.94-E271</f>
        <v>3.99</v>
      </c>
      <c r="F269" s="195">
        <f>PRODUCT(F264,E269)</f>
        <v>1.1571</v>
      </c>
      <c r="G269" s="66">
        <v>89.6</v>
      </c>
      <c r="H269" s="206">
        <f>PRODUCT(F269,G269)</f>
        <v>103.67616</v>
      </c>
      <c r="I269" s="197"/>
      <c r="J269" s="197"/>
      <c r="K269" s="197"/>
      <c r="L269" s="197"/>
      <c r="M269" s="207">
        <f>SUM(H269)</f>
        <v>103.67616</v>
      </c>
      <c r="N269" s="197"/>
      <c r="O269" s="83"/>
      <c r="P269"/>
    </row>
    <row r="270" spans="1:16" ht="12.75">
      <c r="A270" s="198"/>
      <c r="B270" s="199">
        <v>3</v>
      </c>
      <c r="C270" s="205" t="s">
        <v>24</v>
      </c>
      <c r="D270" s="199"/>
      <c r="E270" s="193"/>
      <c r="F270" s="195"/>
      <c r="G270" s="195"/>
      <c r="H270" s="206"/>
      <c r="I270" s="207">
        <f>SUM(H271:H273)</f>
        <v>363.33288</v>
      </c>
      <c r="J270" s="197"/>
      <c r="K270" s="197"/>
      <c r="L270" s="197"/>
      <c r="M270" s="197"/>
      <c r="N270" s="197"/>
      <c r="O270" s="83"/>
      <c r="P270"/>
    </row>
    <row r="271" spans="1:16" ht="12.75">
      <c r="A271" s="198"/>
      <c r="B271" s="199">
        <v>400001</v>
      </c>
      <c r="C271" s="205" t="s">
        <v>192</v>
      </c>
      <c r="D271" s="199" t="s">
        <v>26</v>
      </c>
      <c r="E271" s="193">
        <f>1.2*1.25*0.28</f>
        <v>0.42000000000000004</v>
      </c>
      <c r="F271" s="195">
        <f>PRODUCT(F264,E271)</f>
        <v>0.1218</v>
      </c>
      <c r="G271" s="57">
        <v>444.37</v>
      </c>
      <c r="H271" s="206">
        <f>PRODUCT(F271,G271)</f>
        <v>54.124266000000006</v>
      </c>
      <c r="I271" s="197"/>
      <c r="J271" s="197"/>
      <c r="K271" s="197"/>
      <c r="L271" s="197"/>
      <c r="M271" s="197"/>
      <c r="N271" s="197"/>
      <c r="O271" s="83"/>
      <c r="P271"/>
    </row>
    <row r="272" spans="1:16" ht="12.75">
      <c r="A272" s="198"/>
      <c r="B272" s="199">
        <v>30101</v>
      </c>
      <c r="C272" s="205" t="s">
        <v>138</v>
      </c>
      <c r="D272" s="199" t="s">
        <v>26</v>
      </c>
      <c r="E272" s="193">
        <f>1.2*1.25*0.36</f>
        <v>0.54</v>
      </c>
      <c r="F272" s="195">
        <f>PRODUCT(F264,E272)</f>
        <v>0.1566</v>
      </c>
      <c r="G272" s="46">
        <v>427.89</v>
      </c>
      <c r="H272" s="206">
        <f>PRODUCT(F272,G272)</f>
        <v>67.00757399999999</v>
      </c>
      <c r="I272" s="197"/>
      <c r="J272" s="197"/>
      <c r="K272" s="197"/>
      <c r="L272" s="197"/>
      <c r="M272" s="197"/>
      <c r="N272" s="197"/>
      <c r="O272" s="83"/>
      <c r="P272"/>
    </row>
    <row r="273" spans="1:16" ht="12.75">
      <c r="A273" s="198"/>
      <c r="B273" s="199">
        <v>31121</v>
      </c>
      <c r="C273" s="205" t="s">
        <v>25</v>
      </c>
      <c r="D273" s="199" t="s">
        <v>26</v>
      </c>
      <c r="E273" s="193">
        <f>1.2*1.25*2.3</f>
        <v>3.4499999999999997</v>
      </c>
      <c r="F273" s="195">
        <f>PRODUCT(F264,E273)</f>
        <v>1.0005</v>
      </c>
      <c r="G273" s="203">
        <v>242.08</v>
      </c>
      <c r="H273" s="206">
        <f>PRODUCT(F273,G273)</f>
        <v>242.20104</v>
      </c>
      <c r="I273" s="197"/>
      <c r="J273" s="197"/>
      <c r="K273" s="197"/>
      <c r="L273" s="197"/>
      <c r="M273" s="197"/>
      <c r="N273" s="197"/>
      <c r="O273" s="83"/>
      <c r="P273"/>
    </row>
    <row r="274" spans="1:16" ht="12.75">
      <c r="A274" s="198"/>
      <c r="B274" s="199">
        <v>4</v>
      </c>
      <c r="C274" s="205" t="s">
        <v>27</v>
      </c>
      <c r="D274" s="199"/>
      <c r="E274" s="193"/>
      <c r="F274" s="195"/>
      <c r="G274" s="195"/>
      <c r="H274" s="206"/>
      <c r="I274" s="197"/>
      <c r="J274" s="207">
        <f>SUM(H275:H278)</f>
        <v>28203.711040000002</v>
      </c>
      <c r="K274" s="197"/>
      <c r="L274" s="197"/>
      <c r="M274" s="197"/>
      <c r="N274" s="197"/>
      <c r="O274" s="83"/>
      <c r="P274"/>
    </row>
    <row r="275" spans="1:16" ht="14.25">
      <c r="A275" s="198"/>
      <c r="B275" s="199" t="s">
        <v>193</v>
      </c>
      <c r="C275" s="205" t="s">
        <v>194</v>
      </c>
      <c r="D275" s="199" t="s">
        <v>363</v>
      </c>
      <c r="E275" s="193">
        <v>102</v>
      </c>
      <c r="F275" s="195">
        <f>PRODUCT(F264,E275)</f>
        <v>29.58</v>
      </c>
      <c r="G275" s="195">
        <v>650</v>
      </c>
      <c r="H275" s="206">
        <f>PRODUCT(F275,G275)</f>
        <v>19227</v>
      </c>
      <c r="I275" s="197"/>
      <c r="J275" s="197"/>
      <c r="K275" s="197"/>
      <c r="L275" s="197"/>
      <c r="M275" s="197"/>
      <c r="N275" s="197"/>
      <c r="O275" s="83"/>
      <c r="P275"/>
    </row>
    <row r="276" spans="1:16" ht="14.25">
      <c r="A276" s="198"/>
      <c r="B276" s="199"/>
      <c r="C276" s="205" t="s">
        <v>195</v>
      </c>
      <c r="D276" s="199" t="s">
        <v>364</v>
      </c>
      <c r="E276" s="193">
        <v>1.3</v>
      </c>
      <c r="F276" s="195">
        <f>PRODUCT(F264,E276)</f>
        <v>0.377</v>
      </c>
      <c r="G276" s="195">
        <v>23600</v>
      </c>
      <c r="H276" s="206">
        <f>PRODUCT(F276,G276)</f>
        <v>8897.2</v>
      </c>
      <c r="I276" s="197"/>
      <c r="J276" s="197"/>
      <c r="K276" s="197"/>
      <c r="L276" s="197"/>
      <c r="M276" s="197"/>
      <c r="N276" s="197"/>
      <c r="O276" s="83"/>
      <c r="P276"/>
    </row>
    <row r="277" spans="1:16" ht="14.25">
      <c r="A277" s="198"/>
      <c r="B277" s="199" t="s">
        <v>196</v>
      </c>
      <c r="C277" s="205" t="s">
        <v>197</v>
      </c>
      <c r="D277" s="199" t="s">
        <v>364</v>
      </c>
      <c r="E277" s="193">
        <v>3.06</v>
      </c>
      <c r="F277" s="195">
        <f>PRODUCT(F264,E277)</f>
        <v>0.8874</v>
      </c>
      <c r="G277" s="195">
        <v>89.6</v>
      </c>
      <c r="H277" s="206">
        <f>PRODUCT(F277,G277)</f>
        <v>79.51104</v>
      </c>
      <c r="I277" s="197"/>
      <c r="J277" s="197"/>
      <c r="K277" s="197"/>
      <c r="L277" s="197"/>
      <c r="M277" s="197"/>
      <c r="N277" s="197"/>
      <c r="O277" s="83"/>
      <c r="P277"/>
    </row>
    <row r="278" spans="1:16" ht="14.25">
      <c r="A278" s="198"/>
      <c r="B278" s="199" t="s">
        <v>146</v>
      </c>
      <c r="C278" s="205" t="s">
        <v>32</v>
      </c>
      <c r="D278" s="199" t="s">
        <v>364</v>
      </c>
      <c r="E278" s="193">
        <v>3.85</v>
      </c>
      <c r="F278" s="195">
        <f>PRODUCT(F264,E278)</f>
        <v>1.1165</v>
      </c>
      <c r="G278" s="195">
        <v>0</v>
      </c>
      <c r="H278" s="206">
        <f>PRODUCT(F278,G278)</f>
        <v>0</v>
      </c>
      <c r="I278" s="197"/>
      <c r="J278" s="197"/>
      <c r="K278" s="197"/>
      <c r="L278" s="197"/>
      <c r="M278" s="197"/>
      <c r="N278" s="197"/>
      <c r="O278" s="83"/>
      <c r="P278"/>
    </row>
    <row r="279" spans="1:23" s="27" customFormat="1" ht="12.75">
      <c r="A279" s="319"/>
      <c r="B279" s="320"/>
      <c r="C279" s="308" t="s">
        <v>198</v>
      </c>
      <c r="D279" s="307"/>
      <c r="E279" s="315"/>
      <c r="F279" s="310"/>
      <c r="G279" s="310"/>
      <c r="H279" s="318"/>
      <c r="I279" s="1"/>
      <c r="J279" s="1"/>
      <c r="K279" s="1"/>
      <c r="L279" s="37"/>
      <c r="M279" s="1"/>
      <c r="N279" s="1"/>
      <c r="O279"/>
      <c r="P279"/>
      <c r="Q279" s="7"/>
      <c r="R279"/>
      <c r="S279"/>
      <c r="T279"/>
      <c r="U279"/>
      <c r="V279"/>
      <c r="W279"/>
    </row>
    <row r="280" spans="1:14" s="27" customFormat="1" ht="12.75">
      <c r="A280" s="44">
        <v>1</v>
      </c>
      <c r="B280" s="38" t="s">
        <v>199</v>
      </c>
      <c r="C280" s="110" t="s">
        <v>200</v>
      </c>
      <c r="D280" s="38" t="s">
        <v>201</v>
      </c>
      <c r="E280" s="45"/>
      <c r="F280" s="111">
        <v>0.07</v>
      </c>
      <c r="G280" s="46"/>
      <c r="H280" s="68"/>
      <c r="I280" s="26"/>
      <c r="N280" s="28"/>
    </row>
    <row r="281" spans="1:14" s="27" customFormat="1" ht="12.75">
      <c r="A281" s="44"/>
      <c r="B281" s="32"/>
      <c r="C281" s="31" t="s">
        <v>18</v>
      </c>
      <c r="D281" s="32"/>
      <c r="E281" s="33">
        <f>0.94*82%</f>
        <v>0.7707999999999999</v>
      </c>
      <c r="F281" s="46"/>
      <c r="G281" s="46"/>
      <c r="H281" s="40"/>
      <c r="I281" s="26"/>
      <c r="N281" s="28"/>
    </row>
    <row r="282" spans="1:15" s="27" customFormat="1" ht="12.75">
      <c r="A282" s="44"/>
      <c r="B282" s="38"/>
      <c r="C282" s="31" t="s">
        <v>19</v>
      </c>
      <c r="D282" s="38"/>
      <c r="E282" s="168">
        <v>0.62</v>
      </c>
      <c r="F282" s="115"/>
      <c r="G282" s="46"/>
      <c r="H282" s="40"/>
      <c r="I282" s="121"/>
      <c r="J282" s="121"/>
      <c r="K282" s="47"/>
      <c r="L282" s="47"/>
      <c r="M282" s="47"/>
      <c r="N282" s="122"/>
      <c r="O282" s="50">
        <f>SUM(H283:H285)*E282</f>
        <v>540.3081698000001</v>
      </c>
    </row>
    <row r="283" spans="1:14" s="27" customFormat="1" ht="12.75">
      <c r="A283" s="44"/>
      <c r="B283" s="32">
        <v>1</v>
      </c>
      <c r="C283" s="31" t="s">
        <v>149</v>
      </c>
      <c r="D283" s="32" t="s">
        <v>21</v>
      </c>
      <c r="E283" s="45">
        <v>179.3</v>
      </c>
      <c r="F283" s="46">
        <f>PRODUCT(F280,E283)</f>
        <v>12.551000000000002</v>
      </c>
      <c r="G283" s="46">
        <v>67.45</v>
      </c>
      <c r="H283" s="36">
        <f>PRODUCT(F283,G283)</f>
        <v>846.5649500000002</v>
      </c>
      <c r="I283" s="121"/>
      <c r="J283" s="121"/>
      <c r="K283" s="47"/>
      <c r="L283" s="50">
        <f>SUM(H283)</f>
        <v>846.5649500000002</v>
      </c>
      <c r="M283" s="47"/>
      <c r="N283" s="47"/>
    </row>
    <row r="284" spans="1:14" s="27" customFormat="1" ht="12.75">
      <c r="A284" s="44"/>
      <c r="B284" s="48"/>
      <c r="C284" s="31" t="s">
        <v>22</v>
      </c>
      <c r="D284" s="32"/>
      <c r="E284" s="45">
        <v>2.3</v>
      </c>
      <c r="F284" s="46"/>
      <c r="G284" s="46"/>
      <c r="H284" s="36"/>
      <c r="K284" s="50">
        <f>SUM(H283:H285)*E281</f>
        <v>671.7250601320001</v>
      </c>
      <c r="L284" s="47"/>
      <c r="M284" s="47"/>
      <c r="N284" s="47"/>
    </row>
    <row r="285" spans="1:14" s="27" customFormat="1" ht="12.75">
      <c r="A285" s="44"/>
      <c r="B285" s="32">
        <v>2</v>
      </c>
      <c r="C285" s="31" t="s">
        <v>23</v>
      </c>
      <c r="D285" s="32" t="s">
        <v>21</v>
      </c>
      <c r="E285" s="45">
        <v>3.97</v>
      </c>
      <c r="F285" s="46">
        <f>PRODUCT(F280,E285)</f>
        <v>0.27790000000000004</v>
      </c>
      <c r="G285" s="34">
        <v>89.6</v>
      </c>
      <c r="H285" s="36">
        <f>PRODUCT(F285,G285)</f>
        <v>24.89984</v>
      </c>
      <c r="K285" s="47"/>
      <c r="L285" s="47"/>
      <c r="M285" s="50">
        <f>SUM(H285)</f>
        <v>24.89984</v>
      </c>
      <c r="N285" s="47"/>
    </row>
    <row r="286" spans="1:15" s="27" customFormat="1" ht="12.75">
      <c r="A286" s="44"/>
      <c r="B286" s="32">
        <v>3</v>
      </c>
      <c r="C286" s="31" t="s">
        <v>24</v>
      </c>
      <c r="D286" s="32"/>
      <c r="E286" s="45"/>
      <c r="F286" s="46"/>
      <c r="G286" s="46"/>
      <c r="H286" s="36"/>
      <c r="I286" s="26">
        <f>SUM(H287:H288)</f>
        <v>80.98114500000001</v>
      </c>
      <c r="O286" s="51"/>
    </row>
    <row r="287" spans="1:15" s="27" customFormat="1" ht="12.75">
      <c r="A287" s="44"/>
      <c r="B287" s="32">
        <v>50101</v>
      </c>
      <c r="C287" s="31" t="s">
        <v>183</v>
      </c>
      <c r="D287" s="32" t="s">
        <v>26</v>
      </c>
      <c r="E287" s="45">
        <v>3.97</v>
      </c>
      <c r="F287" s="46">
        <f>PRODUCT(F280,E287)</f>
        <v>0.27790000000000004</v>
      </c>
      <c r="G287" s="46">
        <v>286.57</v>
      </c>
      <c r="H287" s="36">
        <f>PRODUCT(F287,G287)</f>
        <v>79.637803</v>
      </c>
      <c r="O287" s="51"/>
    </row>
    <row r="288" spans="1:15" s="27" customFormat="1" ht="12.75">
      <c r="A288" s="44"/>
      <c r="B288" s="32">
        <v>330804</v>
      </c>
      <c r="C288" s="31" t="s">
        <v>202</v>
      </c>
      <c r="D288" s="32" t="s">
        <v>26</v>
      </c>
      <c r="E288" s="45">
        <v>7.93</v>
      </c>
      <c r="F288" s="46">
        <f>PRODUCT(F280,E288)</f>
        <v>0.5551</v>
      </c>
      <c r="G288" s="46">
        <v>2.42</v>
      </c>
      <c r="H288" s="36">
        <f>PRODUCT(F288,G288)</f>
        <v>1.343342</v>
      </c>
      <c r="O288" s="51"/>
    </row>
    <row r="289" spans="1:15" s="27" customFormat="1" ht="12.75">
      <c r="A289" s="44"/>
      <c r="B289" s="32">
        <v>4</v>
      </c>
      <c r="C289" s="31" t="s">
        <v>27</v>
      </c>
      <c r="D289" s="32"/>
      <c r="E289" s="45"/>
      <c r="F289" s="46"/>
      <c r="G289" s="46"/>
      <c r="H289" s="36"/>
      <c r="J289" s="26">
        <f>SUM(H290:H290)</f>
        <v>0</v>
      </c>
      <c r="O289" s="51"/>
    </row>
    <row r="290" spans="1:15" s="27" customFormat="1" ht="12.75">
      <c r="A290" s="44"/>
      <c r="B290" s="32" t="s">
        <v>33</v>
      </c>
      <c r="C290" s="31" t="s">
        <v>34</v>
      </c>
      <c r="D290" s="32" t="s">
        <v>35</v>
      </c>
      <c r="E290" s="45">
        <v>10.5</v>
      </c>
      <c r="F290" s="46">
        <f>PRODUCT(F280,E290)</f>
        <v>0.7350000000000001</v>
      </c>
      <c r="G290" s="46">
        <v>0</v>
      </c>
      <c r="H290" s="36">
        <f>PRODUCT(F290,G290)</f>
        <v>0</v>
      </c>
      <c r="N290" s="27">
        <f>F290</f>
        <v>0.7350000000000001</v>
      </c>
      <c r="O290" s="51"/>
    </row>
    <row r="291" spans="1:14" s="27" customFormat="1" ht="14.25">
      <c r="A291" s="44">
        <v>2</v>
      </c>
      <c r="B291" s="38" t="s">
        <v>203</v>
      </c>
      <c r="C291" s="110" t="s">
        <v>204</v>
      </c>
      <c r="D291" s="38" t="s">
        <v>359</v>
      </c>
      <c r="E291" s="45"/>
      <c r="F291" s="111">
        <v>0.148</v>
      </c>
      <c r="G291" s="46"/>
      <c r="H291" s="209"/>
      <c r="I291" s="26"/>
      <c r="N291" s="28"/>
    </row>
    <row r="292" spans="1:14" s="27" customFormat="1" ht="12.75">
      <c r="A292" s="44"/>
      <c r="B292" s="32"/>
      <c r="C292" s="31" t="s">
        <v>18</v>
      </c>
      <c r="D292" s="32"/>
      <c r="E292" s="33">
        <f>0.94*82%</f>
        <v>0.7707999999999999</v>
      </c>
      <c r="F292" s="46"/>
      <c r="G292" s="46"/>
      <c r="H292" s="40"/>
      <c r="I292" s="26"/>
      <c r="N292" s="28"/>
    </row>
    <row r="293" spans="1:15" s="27" customFormat="1" ht="12.75">
      <c r="A293" s="44"/>
      <c r="B293" s="38"/>
      <c r="C293" s="31" t="s">
        <v>19</v>
      </c>
      <c r="D293" s="38"/>
      <c r="E293" s="168">
        <v>0.62</v>
      </c>
      <c r="F293" s="115"/>
      <c r="G293" s="46"/>
      <c r="H293" s="40"/>
      <c r="I293" s="28"/>
      <c r="J293" s="28"/>
      <c r="K293" s="28"/>
      <c r="L293" s="210"/>
      <c r="M293" s="28"/>
      <c r="N293" s="28"/>
      <c r="O293" s="50">
        <f>SUM(H294:H296)*E293</f>
        <v>222.54717967999997</v>
      </c>
    </row>
    <row r="294" spans="1:14" s="27" customFormat="1" ht="12.75">
      <c r="A294" s="44"/>
      <c r="B294" s="32">
        <v>1</v>
      </c>
      <c r="C294" s="31" t="s">
        <v>149</v>
      </c>
      <c r="D294" s="32" t="s">
        <v>21</v>
      </c>
      <c r="E294" s="45">
        <v>36.28</v>
      </c>
      <c r="F294" s="46">
        <f>PRODUCT(F291,E294)</f>
        <v>5.36944</v>
      </c>
      <c r="G294" s="34">
        <v>66.85</v>
      </c>
      <c r="H294" s="36">
        <f>PRODUCT(F294,G294)</f>
        <v>358.94706399999995</v>
      </c>
      <c r="I294" s="51"/>
      <c r="J294" s="51"/>
      <c r="K294" s="51"/>
      <c r="L294" s="50">
        <f>SUM(H294)</f>
        <v>358.94706399999995</v>
      </c>
      <c r="M294" s="51"/>
      <c r="N294" s="47"/>
    </row>
    <row r="295" spans="1:14" s="27" customFormat="1" ht="12.75">
      <c r="A295" s="44"/>
      <c r="B295" s="48"/>
      <c r="C295" s="31" t="s">
        <v>22</v>
      </c>
      <c r="D295" s="32"/>
      <c r="E295" s="45">
        <v>2.2</v>
      </c>
      <c r="F295" s="111"/>
      <c r="G295" s="34"/>
      <c r="H295" s="36"/>
      <c r="I295" s="51"/>
      <c r="J295" s="51"/>
      <c r="K295" s="50">
        <f>SUM(H294:H294)*E292</f>
        <v>276.6763969311999</v>
      </c>
      <c r="L295" s="211"/>
      <c r="M295" s="51"/>
      <c r="N295" s="47"/>
    </row>
    <row r="296" spans="1:10" s="27" customFormat="1" ht="12.75">
      <c r="A296" s="44"/>
      <c r="B296" s="32">
        <v>4</v>
      </c>
      <c r="C296" s="31" t="s">
        <v>27</v>
      </c>
      <c r="D296" s="32"/>
      <c r="E296" s="45"/>
      <c r="F296" s="46"/>
      <c r="G296" s="46"/>
      <c r="H296" s="36"/>
      <c r="J296" s="26">
        <f>SUM(H297:H297)</f>
        <v>0</v>
      </c>
    </row>
    <row r="297" spans="1:14" s="27" customFormat="1" ht="12.75">
      <c r="A297" s="44"/>
      <c r="B297" s="32" t="s">
        <v>33</v>
      </c>
      <c r="C297" s="31" t="s">
        <v>34</v>
      </c>
      <c r="D297" s="32" t="s">
        <v>35</v>
      </c>
      <c r="E297" s="45">
        <v>1.18</v>
      </c>
      <c r="F297" s="46">
        <f>PRODUCT(F291,E297)</f>
        <v>0.17464</v>
      </c>
      <c r="G297" s="46">
        <v>0</v>
      </c>
      <c r="H297" s="36">
        <f>PRODUCT(F297,G297)</f>
        <v>0</v>
      </c>
      <c r="N297" s="27">
        <f>F297</f>
        <v>0.17464</v>
      </c>
    </row>
    <row r="298" spans="1:23" s="62" customFormat="1" ht="38.25">
      <c r="A298" s="212">
        <v>3</v>
      </c>
      <c r="B298" s="114" t="s">
        <v>205</v>
      </c>
      <c r="C298" s="213" t="s">
        <v>206</v>
      </c>
      <c r="D298" s="38" t="s">
        <v>359</v>
      </c>
      <c r="E298" s="214"/>
      <c r="F298" s="115">
        <v>0.027</v>
      </c>
      <c r="G298" s="215"/>
      <c r="H298" s="216"/>
      <c r="I298" s="13"/>
      <c r="J298" s="13"/>
      <c r="K298" s="13"/>
      <c r="L298" s="13"/>
      <c r="M298" s="13"/>
      <c r="N298" s="13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62" customFormat="1" ht="12.75">
      <c r="A299" s="44"/>
      <c r="B299" s="38"/>
      <c r="C299" s="31" t="s">
        <v>18</v>
      </c>
      <c r="D299" s="32"/>
      <c r="E299" s="33">
        <f>0.94*110%</f>
        <v>1.034</v>
      </c>
      <c r="F299" s="56"/>
      <c r="G299" s="46"/>
      <c r="H299" s="217"/>
      <c r="I299" s="97"/>
      <c r="J299" s="7"/>
      <c r="K299" s="7"/>
      <c r="L299" s="7"/>
      <c r="M299" s="7"/>
      <c r="N299" s="170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62" customFormat="1" ht="12.75">
      <c r="A300" s="44"/>
      <c r="B300" s="32"/>
      <c r="C300" s="31" t="s">
        <v>19</v>
      </c>
      <c r="D300" s="38"/>
      <c r="E300" s="168">
        <v>0.7</v>
      </c>
      <c r="F300" s="176"/>
      <c r="G300" s="176"/>
      <c r="H300" s="169"/>
      <c r="I300" s="126"/>
      <c r="J300" s="126"/>
      <c r="K300" s="1"/>
      <c r="L300" s="1"/>
      <c r="M300" s="1"/>
      <c r="N300" s="130"/>
      <c r="O300" s="37">
        <f>SUM(H301:H303)*E300</f>
        <v>255.63263795999998</v>
      </c>
      <c r="P300" s="7"/>
      <c r="Q300" s="7"/>
      <c r="R300" s="7"/>
      <c r="S300" s="7"/>
      <c r="T300" s="7"/>
      <c r="U300" s="7"/>
      <c r="V300" s="7"/>
      <c r="W300" s="7"/>
    </row>
    <row r="301" spans="1:23" s="62" customFormat="1" ht="12.75">
      <c r="A301" s="44"/>
      <c r="B301" s="101">
        <v>1</v>
      </c>
      <c r="C301" s="102" t="s">
        <v>20</v>
      </c>
      <c r="D301" s="101" t="s">
        <v>21</v>
      </c>
      <c r="E301" s="103">
        <v>188.54</v>
      </c>
      <c r="F301" s="57">
        <f>PRODUCT(F298,E301)</f>
        <v>5.09058</v>
      </c>
      <c r="G301" s="57">
        <v>68.06</v>
      </c>
      <c r="H301" s="178">
        <f>PRODUCT(F301,G301)</f>
        <v>346.4648748</v>
      </c>
      <c r="I301" s="1"/>
      <c r="J301" s="1"/>
      <c r="K301" s="1"/>
      <c r="L301" s="37">
        <f>SUM(H301)</f>
        <v>346.4648748</v>
      </c>
      <c r="M301" s="1"/>
      <c r="N301" s="1"/>
      <c r="O301"/>
      <c r="P301" s="7"/>
      <c r="Q301" s="7"/>
      <c r="R301" s="7"/>
      <c r="S301" s="7"/>
      <c r="T301" s="7"/>
      <c r="U301" s="7"/>
      <c r="V301" s="7"/>
      <c r="W301" s="7"/>
    </row>
    <row r="302" spans="1:15" ht="12.75">
      <c r="A302" s="44"/>
      <c r="B302" s="123"/>
      <c r="C302" s="102" t="s">
        <v>22</v>
      </c>
      <c r="D302" s="101"/>
      <c r="E302" s="103">
        <v>2.4</v>
      </c>
      <c r="F302" s="57"/>
      <c r="G302" s="57"/>
      <c r="H302" s="178"/>
      <c r="I302" s="1"/>
      <c r="J302" s="1"/>
      <c r="K302" s="37">
        <f>SUM(H301:H303)*E299</f>
        <v>377.60592521520005</v>
      </c>
      <c r="L302" s="1"/>
      <c r="M302" s="1"/>
      <c r="N302" s="1"/>
      <c r="O302"/>
    </row>
    <row r="303" spans="1:23" s="13" customFormat="1" ht="12.75">
      <c r="A303" s="44"/>
      <c r="B303" s="101">
        <v>2</v>
      </c>
      <c r="C303" s="102" t="s">
        <v>23</v>
      </c>
      <c r="D303" s="101" t="s">
        <v>21</v>
      </c>
      <c r="E303" s="103">
        <v>7.74</v>
      </c>
      <c r="F303" s="57">
        <f>PRODUCT(F298,E303)</f>
        <v>0.20898</v>
      </c>
      <c r="G303" s="34">
        <v>89.6</v>
      </c>
      <c r="H303" s="178">
        <f>PRODUCT(F303,G303)</f>
        <v>18.724608</v>
      </c>
      <c r="I303" s="1"/>
      <c r="J303" s="1"/>
      <c r="K303" s="1"/>
      <c r="L303" s="1"/>
      <c r="M303" s="37">
        <f>SUM(H303)</f>
        <v>18.724608</v>
      </c>
      <c r="N303" s="1"/>
      <c r="O303"/>
      <c r="P303" s="7"/>
      <c r="Q303" s="7"/>
      <c r="R303" s="7"/>
      <c r="S303" s="7"/>
      <c r="T303" s="7"/>
      <c r="U303" s="7"/>
      <c r="V303" s="7"/>
      <c r="W303" s="7"/>
    </row>
    <row r="304" spans="1:23" s="13" customFormat="1" ht="12.75">
      <c r="A304" s="44"/>
      <c r="B304" s="101">
        <v>3</v>
      </c>
      <c r="C304" s="102" t="s">
        <v>24</v>
      </c>
      <c r="D304" s="101"/>
      <c r="E304" s="103"/>
      <c r="F304" s="56"/>
      <c r="G304" s="56"/>
      <c r="H304" s="179"/>
      <c r="I304" s="125">
        <f>SUM(H305)</f>
        <v>50.5898784</v>
      </c>
      <c r="J304" s="126"/>
      <c r="K304"/>
      <c r="L304"/>
      <c r="M304"/>
      <c r="N304"/>
      <c r="O304" s="127"/>
      <c r="P304" s="7"/>
      <c r="Q304" s="7"/>
      <c r="R304" s="7"/>
      <c r="S304" s="7"/>
      <c r="T304" s="7"/>
      <c r="U304" s="7"/>
      <c r="V304" s="7"/>
      <c r="W304" s="7"/>
    </row>
    <row r="305" spans="1:15" ht="12.75">
      <c r="A305" s="44"/>
      <c r="B305" s="101">
        <v>31121</v>
      </c>
      <c r="C305" s="102" t="s">
        <v>82</v>
      </c>
      <c r="D305" s="101" t="s">
        <v>26</v>
      </c>
      <c r="E305" s="103">
        <v>7.74</v>
      </c>
      <c r="F305" s="57">
        <f>PRODUCT(F298,E305)</f>
        <v>0.20898</v>
      </c>
      <c r="G305" s="67">
        <v>242.08</v>
      </c>
      <c r="H305" s="178">
        <f>PRODUCT(F305,G305)</f>
        <v>50.5898784</v>
      </c>
      <c r="I305" s="126"/>
      <c r="J305" s="126"/>
      <c r="K305"/>
      <c r="L305"/>
      <c r="M305"/>
      <c r="N305"/>
      <c r="O305" s="127"/>
    </row>
    <row r="306" spans="1:23" s="27" customFormat="1" ht="38.25">
      <c r="A306" s="92">
        <v>4</v>
      </c>
      <c r="B306" s="53" t="s">
        <v>207</v>
      </c>
      <c r="C306" s="107" t="s">
        <v>208</v>
      </c>
      <c r="D306" s="53" t="s">
        <v>359</v>
      </c>
      <c r="E306" s="55"/>
      <c r="F306" s="56">
        <v>0.027</v>
      </c>
      <c r="G306" s="57"/>
      <c r="H306" s="218"/>
      <c r="I306" s="165"/>
      <c r="J306" s="165"/>
      <c r="K306" s="165"/>
      <c r="L306" s="165"/>
      <c r="M306" s="165"/>
      <c r="N306" s="161"/>
      <c r="O306" s="165"/>
      <c r="P306" s="165"/>
      <c r="Q306" s="7"/>
      <c r="R306"/>
      <c r="S306"/>
      <c r="T306"/>
      <c r="U306"/>
      <c r="V306"/>
      <c r="W306"/>
    </row>
    <row r="307" spans="1:23" s="27" customFormat="1" ht="12.75">
      <c r="A307" s="92"/>
      <c r="B307" s="32" t="s">
        <v>109</v>
      </c>
      <c r="C307" s="108" t="s">
        <v>18</v>
      </c>
      <c r="D307" s="94"/>
      <c r="E307" s="93">
        <f>0.94*106.2%</f>
        <v>0.99828</v>
      </c>
      <c r="F307" s="57"/>
      <c r="G307" s="57"/>
      <c r="H307" s="40"/>
      <c r="I307" s="219"/>
      <c r="J307" s="165"/>
      <c r="K307" s="165"/>
      <c r="L307" s="165"/>
      <c r="M307" s="165"/>
      <c r="N307" s="157"/>
      <c r="O307" s="165"/>
      <c r="P307" s="165"/>
      <c r="Q307" s="7"/>
      <c r="R307"/>
      <c r="S307"/>
      <c r="T307"/>
      <c r="U307"/>
      <c r="V307"/>
      <c r="W307"/>
    </row>
    <row r="308" spans="1:23" s="27" customFormat="1" ht="12.75">
      <c r="A308" s="92"/>
      <c r="B308" s="32" t="s">
        <v>39</v>
      </c>
      <c r="C308" s="108" t="s">
        <v>19</v>
      </c>
      <c r="D308" s="53"/>
      <c r="E308" s="93">
        <v>0.5355</v>
      </c>
      <c r="F308" s="159"/>
      <c r="G308" s="57"/>
      <c r="H308" s="40"/>
      <c r="I308" s="220"/>
      <c r="J308" s="220"/>
      <c r="K308" s="164"/>
      <c r="L308" s="164"/>
      <c r="M308" s="164"/>
      <c r="N308" s="221"/>
      <c r="O308" s="161">
        <f>SUM(H309:H311)*E308</f>
        <v>278.91601416063</v>
      </c>
      <c r="P308" s="120"/>
      <c r="Q308" s="7"/>
      <c r="R308"/>
      <c r="S308"/>
      <c r="T308"/>
      <c r="U308"/>
      <c r="V308"/>
      <c r="W308"/>
    </row>
    <row r="309" spans="1:23" s="27" customFormat="1" ht="12.75">
      <c r="A309" s="92"/>
      <c r="B309" s="101">
        <v>1</v>
      </c>
      <c r="C309" s="172" t="s">
        <v>20</v>
      </c>
      <c r="D309" s="101" t="s">
        <v>21</v>
      </c>
      <c r="E309" s="103">
        <f>1.2*1.15*187.55</f>
        <v>258.819</v>
      </c>
      <c r="F309" s="57">
        <f>E309*F306</f>
        <v>6.988113</v>
      </c>
      <c r="G309" s="57">
        <v>73.62</v>
      </c>
      <c r="H309" s="162">
        <f>PRODUCT(F309,G309)</f>
        <v>514.46487906</v>
      </c>
      <c r="I309" s="220"/>
      <c r="J309" s="220"/>
      <c r="K309" s="164"/>
      <c r="L309" s="161">
        <f>SUM(H309)</f>
        <v>514.46487906</v>
      </c>
      <c r="M309" s="164"/>
      <c r="N309" s="161"/>
      <c r="O309" s="165"/>
      <c r="P309" s="120"/>
      <c r="Q309" s="7"/>
      <c r="R309"/>
      <c r="S309"/>
      <c r="T309"/>
      <c r="U309"/>
      <c r="V309"/>
      <c r="W309"/>
    </row>
    <row r="310" spans="1:23" s="27" customFormat="1" ht="12.75">
      <c r="A310" s="92"/>
      <c r="B310" s="123"/>
      <c r="C310" s="172" t="s">
        <v>22</v>
      </c>
      <c r="D310" s="222"/>
      <c r="E310" s="103">
        <v>3.2</v>
      </c>
      <c r="F310" s="57"/>
      <c r="G310" s="57"/>
      <c r="H310" s="76"/>
      <c r="I310" s="165"/>
      <c r="J310" s="165"/>
      <c r="K310" s="161">
        <f>SUM(H309:H311)*E307</f>
        <v>519.9557023646569</v>
      </c>
      <c r="L310" s="164"/>
      <c r="M310" s="164"/>
      <c r="N310" s="161"/>
      <c r="O310" s="165"/>
      <c r="P310" s="120"/>
      <c r="Q310" s="7"/>
      <c r="R310"/>
      <c r="S310"/>
      <c r="T310"/>
      <c r="U310"/>
      <c r="V310"/>
      <c r="W310"/>
    </row>
    <row r="311" spans="1:23" s="27" customFormat="1" ht="12.75">
      <c r="A311" s="92"/>
      <c r="B311" s="101">
        <v>2</v>
      </c>
      <c r="C311" s="172" t="s">
        <v>23</v>
      </c>
      <c r="D311" s="101" t="s">
        <v>21</v>
      </c>
      <c r="E311" s="103">
        <f>1.2*1.25*5.33-E316</f>
        <v>2.6400000000000006</v>
      </c>
      <c r="F311" s="57">
        <f>E311*F306</f>
        <v>0.07128000000000001</v>
      </c>
      <c r="G311" s="66">
        <v>89.6</v>
      </c>
      <c r="H311" s="162">
        <f>PRODUCT(F311,G311)</f>
        <v>6.386688</v>
      </c>
      <c r="I311" s="165"/>
      <c r="J311" s="165"/>
      <c r="K311" s="164"/>
      <c r="L311" s="164"/>
      <c r="M311" s="161">
        <f>SUM(H311)</f>
        <v>6.386688</v>
      </c>
      <c r="N311" s="161"/>
      <c r="O311" s="165"/>
      <c r="P311" s="120"/>
      <c r="Q311" s="7"/>
      <c r="R311"/>
      <c r="S311"/>
      <c r="T311"/>
      <c r="U311"/>
      <c r="V311"/>
      <c r="W311"/>
    </row>
    <row r="312" spans="1:23" s="27" customFormat="1" ht="12.75" customHeight="1">
      <c r="A312" s="92"/>
      <c r="B312" s="101">
        <v>3</v>
      </c>
      <c r="C312" s="172" t="s">
        <v>24</v>
      </c>
      <c r="D312" s="222"/>
      <c r="E312" s="223"/>
      <c r="F312" s="56"/>
      <c r="G312" s="56"/>
      <c r="H312" s="218"/>
      <c r="I312" s="224">
        <f>SUM(H313:H316)</f>
        <v>103.4637138</v>
      </c>
      <c r="J312" s="164"/>
      <c r="K312" s="164"/>
      <c r="L312" s="164"/>
      <c r="M312" s="161"/>
      <c r="N312" s="161"/>
      <c r="O312" s="165"/>
      <c r="P312" s="120"/>
      <c r="Q312" s="7"/>
      <c r="R312"/>
      <c r="S312"/>
      <c r="T312"/>
      <c r="U312"/>
      <c r="V312"/>
      <c r="W312"/>
    </row>
    <row r="313" spans="1:23" s="27" customFormat="1" ht="12.75" customHeight="1">
      <c r="A313" s="92"/>
      <c r="B313" s="101"/>
      <c r="C313" s="108" t="s">
        <v>25</v>
      </c>
      <c r="D313" s="101" t="s">
        <v>26</v>
      </c>
      <c r="E313" s="103">
        <f>1.2*1.25*1.76</f>
        <v>2.64</v>
      </c>
      <c r="F313" s="57">
        <f>E313*F306</f>
        <v>0.07128</v>
      </c>
      <c r="G313" s="57">
        <v>242.08</v>
      </c>
      <c r="H313" s="162">
        <f>PRODUCT(F313,G313)</f>
        <v>17.2554624</v>
      </c>
      <c r="I313" s="220"/>
      <c r="J313" s="165"/>
      <c r="K313" s="165"/>
      <c r="L313" s="165"/>
      <c r="M313" s="165"/>
      <c r="N313" s="161"/>
      <c r="O313" s="165"/>
      <c r="P313" s="120"/>
      <c r="Q313" s="7"/>
      <c r="R313"/>
      <c r="S313"/>
      <c r="T313"/>
      <c r="U313"/>
      <c r="V313"/>
      <c r="W313"/>
    </row>
    <row r="314" spans="1:23" s="27" customFormat="1" ht="12.75" customHeight="1">
      <c r="A314" s="92"/>
      <c r="B314" s="101"/>
      <c r="C314" s="172" t="s">
        <v>40</v>
      </c>
      <c r="D314" s="101" t="s">
        <v>26</v>
      </c>
      <c r="E314" s="103">
        <f>1.2*1.25*19.62</f>
        <v>29.43</v>
      </c>
      <c r="F314" s="57">
        <f>E314*F306</f>
        <v>0.79461</v>
      </c>
      <c r="G314" s="57">
        <v>11.01</v>
      </c>
      <c r="H314" s="162">
        <f>PRODUCT(F314,G314)</f>
        <v>8.7486561</v>
      </c>
      <c r="I314" s="220"/>
      <c r="J314" s="165"/>
      <c r="K314" s="165"/>
      <c r="L314" s="165"/>
      <c r="M314" s="165"/>
      <c r="N314" s="161"/>
      <c r="O314" s="165"/>
      <c r="P314" s="120"/>
      <c r="Q314" s="7"/>
      <c r="R314"/>
      <c r="S314"/>
      <c r="T314"/>
      <c r="U314"/>
      <c r="V314"/>
      <c r="W314"/>
    </row>
    <row r="315" spans="1:23" s="27" customFormat="1" ht="12.75">
      <c r="A315" s="92"/>
      <c r="B315" s="101"/>
      <c r="C315" s="172" t="s">
        <v>42</v>
      </c>
      <c r="D315" s="101" t="s">
        <v>26</v>
      </c>
      <c r="E315" s="103">
        <f>1.2*1.25*30.23</f>
        <v>45.345</v>
      </c>
      <c r="F315" s="57">
        <f>E315*F306</f>
        <v>1.224315</v>
      </c>
      <c r="G315" s="57">
        <v>10.79</v>
      </c>
      <c r="H315" s="162">
        <f>PRODUCT(F315,G315)</f>
        <v>13.210358849999999</v>
      </c>
      <c r="I315" s="165"/>
      <c r="J315" s="165"/>
      <c r="K315" s="165"/>
      <c r="L315" s="165"/>
      <c r="M315" s="165"/>
      <c r="N315" s="161"/>
      <c r="O315" s="165"/>
      <c r="P315" s="120"/>
      <c r="Q315" s="7"/>
      <c r="R315"/>
      <c r="S315"/>
      <c r="T315"/>
      <c r="U315"/>
      <c r="V315"/>
      <c r="W315"/>
    </row>
    <row r="316" spans="1:23" s="27" customFormat="1" ht="12.75" customHeight="1">
      <c r="A316" s="92"/>
      <c r="B316" s="101"/>
      <c r="C316" s="104" t="s">
        <v>97</v>
      </c>
      <c r="D316" s="101" t="s">
        <v>26</v>
      </c>
      <c r="E316" s="103">
        <f>1.2*1.25*3.57</f>
        <v>5.3549999999999995</v>
      </c>
      <c r="F316" s="57">
        <f>E316*F306</f>
        <v>0.144585</v>
      </c>
      <c r="G316" s="57">
        <v>444.37</v>
      </c>
      <c r="H316" s="162">
        <f>PRODUCT(F316,G316)</f>
        <v>64.24923645</v>
      </c>
      <c r="I316" s="165"/>
      <c r="J316" s="224"/>
      <c r="K316" s="165"/>
      <c r="L316" s="165"/>
      <c r="M316" s="165"/>
      <c r="N316" s="161"/>
      <c r="O316" s="165"/>
      <c r="P316" s="120"/>
      <c r="Q316" s="7"/>
      <c r="R316" s="7"/>
      <c r="S316" s="7"/>
      <c r="T316" s="7"/>
      <c r="U316" s="7"/>
      <c r="V316" s="7"/>
      <c r="W316"/>
    </row>
    <row r="317" spans="1:23" s="27" customFormat="1" ht="12.75" customHeight="1">
      <c r="A317" s="92"/>
      <c r="B317" s="101">
        <v>4</v>
      </c>
      <c r="C317" s="172" t="s">
        <v>27</v>
      </c>
      <c r="D317" s="222"/>
      <c r="E317" s="223"/>
      <c r="F317" s="57"/>
      <c r="G317" s="57"/>
      <c r="H317" s="76"/>
      <c r="I317" s="165"/>
      <c r="J317" s="225">
        <f>SUM(H318:H324)</f>
        <v>21683.5866</v>
      </c>
      <c r="K317" s="165"/>
      <c r="L317" s="165"/>
      <c r="M317" s="165"/>
      <c r="N317" s="161"/>
      <c r="O317" s="165"/>
      <c r="P317" s="120"/>
      <c r="Q317" s="7"/>
      <c r="R317"/>
      <c r="S317"/>
      <c r="T317"/>
      <c r="U317"/>
      <c r="V317"/>
      <c r="W317"/>
    </row>
    <row r="318" spans="1:23" s="27" customFormat="1" ht="12.75">
      <c r="A318" s="92"/>
      <c r="B318" s="101"/>
      <c r="C318" s="31" t="s">
        <v>209</v>
      </c>
      <c r="D318" s="101" t="s">
        <v>50</v>
      </c>
      <c r="E318" s="103">
        <v>92</v>
      </c>
      <c r="F318" s="57">
        <f>E318*F306</f>
        <v>2.484</v>
      </c>
      <c r="G318" s="57">
        <v>128</v>
      </c>
      <c r="H318" s="162">
        <f aca="true" t="shared" si="2" ref="H318:H324">PRODUCT(F318,G318)</f>
        <v>317.952</v>
      </c>
      <c r="I318" s="165"/>
      <c r="J318" s="165"/>
      <c r="K318" s="165"/>
      <c r="L318" s="165"/>
      <c r="M318" s="165"/>
      <c r="N318" s="161"/>
      <c r="O318" s="165"/>
      <c r="P318" s="120"/>
      <c r="Q318" s="7"/>
      <c r="R318"/>
      <c r="S318"/>
      <c r="T318"/>
      <c r="U318"/>
      <c r="V318"/>
      <c r="W318"/>
    </row>
    <row r="319" spans="1:16" s="27" customFormat="1" ht="12.75">
      <c r="A319" s="92"/>
      <c r="B319" s="101"/>
      <c r="C319" s="172" t="s">
        <v>210</v>
      </c>
      <c r="D319" s="101" t="s">
        <v>211</v>
      </c>
      <c r="E319" s="103">
        <v>61.2</v>
      </c>
      <c r="F319" s="57">
        <f>E319*F306</f>
        <v>1.6524</v>
      </c>
      <c r="G319" s="57">
        <v>24</v>
      </c>
      <c r="H319" s="162">
        <f t="shared" si="2"/>
        <v>39.6576</v>
      </c>
      <c r="I319" s="165"/>
      <c r="J319" s="165"/>
      <c r="K319" s="219"/>
      <c r="L319" s="165"/>
      <c r="M319" s="165"/>
      <c r="N319" s="157"/>
      <c r="O319" s="165"/>
      <c r="P319" s="120"/>
    </row>
    <row r="320" spans="1:16" s="27" customFormat="1" ht="12.75" customHeight="1">
      <c r="A320" s="92"/>
      <c r="B320" s="101"/>
      <c r="C320" s="172" t="s">
        <v>212</v>
      </c>
      <c r="D320" s="101" t="s">
        <v>45</v>
      </c>
      <c r="E320" s="103">
        <v>347</v>
      </c>
      <c r="F320" s="57">
        <f>E320*F306</f>
        <v>9.369</v>
      </c>
      <c r="G320" s="57">
        <v>12</v>
      </c>
      <c r="H320" s="162">
        <f t="shared" si="2"/>
        <v>112.428</v>
      </c>
      <c r="I320" s="165"/>
      <c r="J320" s="165"/>
      <c r="K320" s="219"/>
      <c r="L320" s="165"/>
      <c r="M320" s="165"/>
      <c r="N320" s="157"/>
      <c r="O320" s="165"/>
      <c r="P320" s="120"/>
    </row>
    <row r="321" spans="1:16" s="27" customFormat="1" ht="12.75">
      <c r="A321" s="92"/>
      <c r="B321" s="101"/>
      <c r="C321" s="172" t="s">
        <v>213</v>
      </c>
      <c r="D321" s="32" t="s">
        <v>45</v>
      </c>
      <c r="E321" s="45">
        <v>71</v>
      </c>
      <c r="F321" s="57">
        <f>E321*F306</f>
        <v>1.917</v>
      </c>
      <c r="G321" s="34">
        <v>21</v>
      </c>
      <c r="H321" s="162">
        <f t="shared" si="2"/>
        <v>40.257</v>
      </c>
      <c r="I321" s="157"/>
      <c r="J321" s="157"/>
      <c r="K321" s="157"/>
      <c r="L321" s="160"/>
      <c r="M321" s="157"/>
      <c r="N321" s="157"/>
      <c r="O321" s="161"/>
      <c r="P321" s="120"/>
    </row>
    <row r="322" spans="1:23" ht="12.75">
      <c r="A322" s="92"/>
      <c r="B322" s="101"/>
      <c r="C322" s="172" t="s">
        <v>214</v>
      </c>
      <c r="D322" s="101" t="s">
        <v>45</v>
      </c>
      <c r="E322" s="103">
        <v>214</v>
      </c>
      <c r="F322" s="57">
        <f>E322*F306</f>
        <v>5.778</v>
      </c>
      <c r="G322" s="34">
        <v>14</v>
      </c>
      <c r="H322" s="162">
        <f t="shared" si="2"/>
        <v>80.892</v>
      </c>
      <c r="I322" s="165"/>
      <c r="J322" s="165"/>
      <c r="K322" s="219"/>
      <c r="L322" s="165"/>
      <c r="M322" s="165"/>
      <c r="N322" s="165"/>
      <c r="O322" s="164"/>
      <c r="P322" s="120"/>
      <c r="Q322" s="27"/>
      <c r="R322" s="27"/>
      <c r="S322" s="27"/>
      <c r="T322" s="27"/>
      <c r="U322" s="27"/>
      <c r="V322" s="27"/>
      <c r="W322" s="27"/>
    </row>
    <row r="323" spans="1:23" ht="12.75">
      <c r="A323" s="92"/>
      <c r="B323" s="101"/>
      <c r="C323" s="172" t="s">
        <v>215</v>
      </c>
      <c r="D323" s="101" t="s">
        <v>50</v>
      </c>
      <c r="E323" s="103">
        <v>800</v>
      </c>
      <c r="F323" s="57">
        <f>E323*F306</f>
        <v>21.6</v>
      </c>
      <c r="G323" s="34">
        <v>1.5</v>
      </c>
      <c r="H323" s="162">
        <f t="shared" si="2"/>
        <v>32.400000000000006</v>
      </c>
      <c r="I323" s="165"/>
      <c r="J323" s="165"/>
      <c r="K323" s="165"/>
      <c r="L323" s="165"/>
      <c r="M323" s="219"/>
      <c r="N323" s="165"/>
      <c r="O323" s="164"/>
      <c r="P323" s="120"/>
      <c r="Q323" s="27"/>
      <c r="R323" s="27"/>
      <c r="S323" s="27"/>
      <c r="T323" s="27"/>
      <c r="U323" s="27"/>
      <c r="V323" s="27"/>
      <c r="W323" s="27"/>
    </row>
    <row r="324" spans="1:23" ht="14.25">
      <c r="A324" s="92"/>
      <c r="B324" s="101"/>
      <c r="C324" s="172" t="s">
        <v>216</v>
      </c>
      <c r="D324" s="94" t="s">
        <v>360</v>
      </c>
      <c r="E324" s="103">
        <v>100</v>
      </c>
      <c r="F324" s="57">
        <f>E324*F306</f>
        <v>2.7</v>
      </c>
      <c r="G324" s="46">
        <v>7800</v>
      </c>
      <c r="H324" s="162">
        <f t="shared" si="2"/>
        <v>21060</v>
      </c>
      <c r="I324" s="219"/>
      <c r="J324" s="165"/>
      <c r="K324" s="165"/>
      <c r="L324" s="165"/>
      <c r="M324" s="165"/>
      <c r="N324" s="165"/>
      <c r="O324" s="164"/>
      <c r="P324" s="120"/>
      <c r="Q324" s="27"/>
      <c r="R324" s="27"/>
      <c r="S324" s="27"/>
      <c r="T324" s="27"/>
      <c r="U324" s="27"/>
      <c r="V324" s="27"/>
      <c r="W324" s="27"/>
    </row>
    <row r="325" spans="1:23" ht="25.5">
      <c r="A325" s="44">
        <v>5</v>
      </c>
      <c r="B325" s="38" t="s">
        <v>217</v>
      </c>
      <c r="C325" s="180" t="s">
        <v>218</v>
      </c>
      <c r="D325" s="38" t="s">
        <v>219</v>
      </c>
      <c r="E325" s="180"/>
      <c r="F325" s="56">
        <v>0.042</v>
      </c>
      <c r="G325" s="34"/>
      <c r="H325" s="61"/>
      <c r="I325" s="120"/>
      <c r="J325" s="120"/>
      <c r="K325" s="120"/>
      <c r="L325" s="120"/>
      <c r="M325" s="120"/>
      <c r="N325" s="120"/>
      <c r="O325" s="120"/>
      <c r="P325" s="120"/>
      <c r="Q325" s="27"/>
      <c r="R325" s="27"/>
      <c r="S325" s="27"/>
      <c r="T325" s="27"/>
      <c r="U325" s="27"/>
      <c r="V325" s="27"/>
      <c r="W325" s="27"/>
    </row>
    <row r="326" spans="1:23" ht="12.75">
      <c r="A326" s="117"/>
      <c r="B326" s="32" t="s">
        <v>109</v>
      </c>
      <c r="C326" s="35" t="s">
        <v>18</v>
      </c>
      <c r="D326" s="98"/>
      <c r="E326" s="118">
        <f>0.94*106.2%</f>
        <v>0.99828</v>
      </c>
      <c r="F326" s="119"/>
      <c r="G326" s="91"/>
      <c r="H326" s="40"/>
      <c r="I326" s="120"/>
      <c r="J326" s="120"/>
      <c r="K326" s="120"/>
      <c r="L326" s="120"/>
      <c r="M326" s="120"/>
      <c r="N326" s="120"/>
      <c r="O326" s="120"/>
      <c r="P326" s="120"/>
      <c r="Q326" s="27"/>
      <c r="R326" s="27"/>
      <c r="S326" s="27"/>
      <c r="T326" s="27"/>
      <c r="U326" s="27"/>
      <c r="V326" s="27"/>
      <c r="W326" s="27"/>
    </row>
    <row r="327" spans="1:23" ht="12.75">
      <c r="A327" s="44"/>
      <c r="B327" s="94" t="s">
        <v>39</v>
      </c>
      <c r="C327" s="31" t="s">
        <v>19</v>
      </c>
      <c r="D327" s="38"/>
      <c r="E327" s="33">
        <v>0.5355</v>
      </c>
      <c r="F327" s="115"/>
      <c r="G327" s="46"/>
      <c r="H327" s="40"/>
      <c r="I327" s="121"/>
      <c r="J327" s="121"/>
      <c r="K327" s="47"/>
      <c r="L327" s="47"/>
      <c r="M327" s="47"/>
      <c r="N327" s="122"/>
      <c r="O327" s="50">
        <f>SUM(H328:H330)*E327</f>
        <v>47.467749807198</v>
      </c>
      <c r="P327" s="120"/>
      <c r="Q327" s="27"/>
      <c r="R327" s="27"/>
      <c r="S327" s="27"/>
      <c r="T327" s="27"/>
      <c r="U327" s="27"/>
      <c r="V327" s="27"/>
      <c r="W327" s="27"/>
    </row>
    <row r="328" spans="1:23" ht="12.75">
      <c r="A328" s="117"/>
      <c r="B328" s="38"/>
      <c r="C328" s="35" t="s">
        <v>20</v>
      </c>
      <c r="D328" s="32" t="s">
        <v>21</v>
      </c>
      <c r="E328" s="45">
        <f>1.2*1.15*21.19</f>
        <v>29.2422</v>
      </c>
      <c r="F328" s="46">
        <f>PRODUCT(F325,E328)</f>
        <v>1.2281724</v>
      </c>
      <c r="G328" s="46">
        <v>71.99</v>
      </c>
      <c r="H328" s="36">
        <f>PRODUCT(F328,G328)</f>
        <v>88.416131076</v>
      </c>
      <c r="I328" s="121"/>
      <c r="J328" s="121"/>
      <c r="K328" s="47"/>
      <c r="L328" s="50">
        <f>SUM(H328)</f>
        <v>88.416131076</v>
      </c>
      <c r="M328" s="47"/>
      <c r="N328" s="47"/>
      <c r="O328" s="120"/>
      <c r="P328" s="120"/>
      <c r="Q328" s="27"/>
      <c r="R328" s="27"/>
      <c r="S328" s="27"/>
      <c r="T328" s="27"/>
      <c r="U328" s="27"/>
      <c r="V328" s="27"/>
      <c r="W328" s="27"/>
    </row>
    <row r="329" spans="1:23" ht="12.75">
      <c r="A329" s="117"/>
      <c r="B329" s="48" t="s">
        <v>150</v>
      </c>
      <c r="C329" s="35" t="s">
        <v>22</v>
      </c>
      <c r="D329" s="32"/>
      <c r="E329" s="45">
        <v>3</v>
      </c>
      <c r="F329" s="46"/>
      <c r="G329" s="46"/>
      <c r="H329" s="36"/>
      <c r="I329" s="120"/>
      <c r="J329" s="120"/>
      <c r="K329" s="50">
        <f>SUM(H328:H330)*E326</f>
        <v>88.48945896830928</v>
      </c>
      <c r="L329" s="47"/>
      <c r="M329" s="47"/>
      <c r="N329" s="47"/>
      <c r="O329" s="120"/>
      <c r="P329" s="120"/>
      <c r="Q329" s="27"/>
      <c r="R329" s="27"/>
      <c r="S329" s="27"/>
      <c r="T329" s="27"/>
      <c r="U329" s="27"/>
      <c r="V329" s="27"/>
      <c r="W329" s="27"/>
    </row>
    <row r="330" spans="1:23" ht="12.75">
      <c r="A330" s="117"/>
      <c r="B330" s="32">
        <v>2</v>
      </c>
      <c r="C330" s="35" t="s">
        <v>23</v>
      </c>
      <c r="D330" s="32" t="s">
        <v>21</v>
      </c>
      <c r="E330" s="45">
        <f>1.2*1.25*0.19-E333</f>
        <v>0.06000000000000005</v>
      </c>
      <c r="F330" s="46">
        <f>PRODUCT(F325,E330)</f>
        <v>0.0025200000000000023</v>
      </c>
      <c r="G330" s="34">
        <v>89.6</v>
      </c>
      <c r="H330" s="36">
        <f>PRODUCT(F330,G330)</f>
        <v>0.2257920000000002</v>
      </c>
      <c r="I330" s="120"/>
      <c r="J330" s="120"/>
      <c r="K330" s="47"/>
      <c r="L330" s="47"/>
      <c r="M330" s="50">
        <f>SUM(H330)</f>
        <v>0.2257920000000002</v>
      </c>
      <c r="N330" s="47"/>
      <c r="O330" s="120"/>
      <c r="P330" s="120"/>
      <c r="Q330" s="27"/>
      <c r="R330" s="27"/>
      <c r="S330" s="27"/>
      <c r="T330" s="27"/>
      <c r="U330" s="27"/>
      <c r="V330" s="27"/>
      <c r="W330" s="27"/>
    </row>
    <row r="331" spans="1:23" ht="12.75">
      <c r="A331" s="117"/>
      <c r="B331" s="32">
        <v>3</v>
      </c>
      <c r="C331" s="35" t="s">
        <v>24</v>
      </c>
      <c r="D331" s="32"/>
      <c r="E331" s="45"/>
      <c r="F331" s="46"/>
      <c r="G331" s="34"/>
      <c r="H331" s="36"/>
      <c r="I331" s="226">
        <f>SUM(H332:H333)</f>
        <v>10.299712500000002</v>
      </c>
      <c r="J331" s="120"/>
      <c r="K331" s="120"/>
      <c r="L331" s="120"/>
      <c r="M331" s="120"/>
      <c r="N331" s="120"/>
      <c r="O331" s="120"/>
      <c r="P331" s="120"/>
      <c r="Q331" s="27"/>
      <c r="R331" s="27"/>
      <c r="S331" s="27"/>
      <c r="T331" s="27"/>
      <c r="U331" s="27"/>
      <c r="V331" s="27"/>
      <c r="W331" s="27"/>
    </row>
    <row r="332" spans="1:23" ht="12.75">
      <c r="A332" s="117"/>
      <c r="B332" s="32"/>
      <c r="C332" s="108" t="s">
        <v>25</v>
      </c>
      <c r="D332" s="32" t="s">
        <v>26</v>
      </c>
      <c r="E332" s="45">
        <f>1.2*1.25*0.4</f>
        <v>0.6000000000000001</v>
      </c>
      <c r="F332" s="46">
        <f>PRODUCT(F325,E332)</f>
        <v>0.025200000000000004</v>
      </c>
      <c r="G332" s="57">
        <v>242.08</v>
      </c>
      <c r="H332" s="36">
        <f>PRODUCT(F332,G332)</f>
        <v>6.100416000000001</v>
      </c>
      <c r="I332" s="120"/>
      <c r="J332" s="120"/>
      <c r="K332" s="120"/>
      <c r="L332" s="120"/>
      <c r="M332" s="120"/>
      <c r="N332" s="120"/>
      <c r="O332" s="120"/>
      <c r="P332" s="120"/>
      <c r="Q332" s="27"/>
      <c r="R332" s="27"/>
      <c r="S332" s="27"/>
      <c r="T332" s="27"/>
      <c r="U332" s="27"/>
      <c r="V332" s="27"/>
      <c r="W332" s="27"/>
    </row>
    <row r="333" spans="1:23" ht="12.75">
      <c r="A333" s="117"/>
      <c r="B333" s="32"/>
      <c r="C333" s="35" t="s">
        <v>220</v>
      </c>
      <c r="D333" s="32" t="s">
        <v>26</v>
      </c>
      <c r="E333" s="45">
        <f>1.2*1.25*0.15</f>
        <v>0.22499999999999998</v>
      </c>
      <c r="F333" s="46">
        <f>PRODUCT(F325,E333)</f>
        <v>0.00945</v>
      </c>
      <c r="G333" s="66">
        <v>444.37</v>
      </c>
      <c r="H333" s="36">
        <f>PRODUCT(F333,G333)</f>
        <v>4.1992965</v>
      </c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</row>
    <row r="334" spans="1:23" ht="12.75">
      <c r="A334" s="117"/>
      <c r="B334" s="32">
        <v>4</v>
      </c>
      <c r="C334" s="35" t="s">
        <v>27</v>
      </c>
      <c r="D334" s="32"/>
      <c r="E334" s="45"/>
      <c r="F334" s="46"/>
      <c r="G334" s="34"/>
      <c r="H334" s="36"/>
      <c r="I334" s="120"/>
      <c r="J334" s="226">
        <f>SUM(H335:H337)</f>
        <v>3357.6816000000003</v>
      </c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</row>
    <row r="335" spans="1:23" ht="12.75">
      <c r="A335" s="117"/>
      <c r="B335" s="32"/>
      <c r="C335" s="31" t="s">
        <v>209</v>
      </c>
      <c r="D335" s="32" t="s">
        <v>121</v>
      </c>
      <c r="E335" s="45">
        <v>56.6</v>
      </c>
      <c r="F335" s="46">
        <f>E335*F325</f>
        <v>2.3772</v>
      </c>
      <c r="G335" s="34">
        <v>128</v>
      </c>
      <c r="H335" s="36">
        <f>PRODUCT(F335,G335)</f>
        <v>304.2816</v>
      </c>
      <c r="I335" s="120"/>
      <c r="J335" s="120"/>
      <c r="K335" s="120"/>
      <c r="L335" s="120"/>
      <c r="M335" s="120"/>
      <c r="N335" s="120"/>
      <c r="O335" s="120"/>
      <c r="P335" s="120"/>
      <c r="Q335" s="156"/>
      <c r="R335" s="27"/>
      <c r="S335" s="27"/>
      <c r="T335" s="27"/>
      <c r="U335" s="27"/>
      <c r="V335" s="27"/>
      <c r="W335" s="27"/>
    </row>
    <row r="336" spans="1:23" ht="12.75">
      <c r="A336" s="117"/>
      <c r="B336" s="32"/>
      <c r="C336" s="35" t="s">
        <v>221</v>
      </c>
      <c r="D336" s="32" t="s">
        <v>45</v>
      </c>
      <c r="E336" s="45" t="s">
        <v>122</v>
      </c>
      <c r="F336" s="46">
        <f>F325*1.1*100</f>
        <v>4.62</v>
      </c>
      <c r="G336" s="34">
        <v>650</v>
      </c>
      <c r="H336" s="36">
        <f>PRODUCT(F336,G336)</f>
        <v>3003</v>
      </c>
      <c r="I336" s="120"/>
      <c r="J336" s="120"/>
      <c r="K336" s="120"/>
      <c r="L336" s="120"/>
      <c r="M336" s="120"/>
      <c r="N336" s="120"/>
      <c r="O336" s="120"/>
      <c r="P336" s="120"/>
      <c r="Q336" s="27"/>
      <c r="R336" s="27"/>
      <c r="S336" s="27"/>
      <c r="T336" s="27"/>
      <c r="U336" s="27"/>
      <c r="V336" s="27"/>
      <c r="W336" s="27"/>
    </row>
    <row r="337" spans="1:23" ht="12.75">
      <c r="A337" s="117"/>
      <c r="B337" s="32"/>
      <c r="C337" s="172" t="s">
        <v>215</v>
      </c>
      <c r="D337" s="32" t="s">
        <v>121</v>
      </c>
      <c r="E337" s="45">
        <v>800</v>
      </c>
      <c r="F337" s="46">
        <f>PRODUCT(F325,E337)</f>
        <v>33.6</v>
      </c>
      <c r="G337" s="34">
        <v>1.5</v>
      </c>
      <c r="H337" s="36">
        <f>PRODUCT(F337,G337)</f>
        <v>50.400000000000006</v>
      </c>
      <c r="I337" s="120"/>
      <c r="J337" s="120"/>
      <c r="K337" s="120"/>
      <c r="L337" s="120"/>
      <c r="M337" s="120"/>
      <c r="N337" s="120"/>
      <c r="O337" s="120"/>
      <c r="P337" s="120"/>
      <c r="Q337" s="27"/>
      <c r="R337" s="27"/>
      <c r="S337" s="27"/>
      <c r="T337" s="27"/>
      <c r="U337" s="27"/>
      <c r="V337" s="27"/>
      <c r="W337" s="27"/>
    </row>
    <row r="338" spans="1:23" ht="51">
      <c r="A338" s="52">
        <v>6</v>
      </c>
      <c r="B338" s="38" t="s">
        <v>222</v>
      </c>
      <c r="C338" s="110" t="s">
        <v>223</v>
      </c>
      <c r="D338" s="38" t="s">
        <v>359</v>
      </c>
      <c r="E338" s="100"/>
      <c r="F338" s="91">
        <v>0.124</v>
      </c>
      <c r="G338" s="34"/>
      <c r="H338" s="36"/>
      <c r="I338" s="1"/>
      <c r="J338" s="1"/>
      <c r="K338" s="1"/>
      <c r="L338" s="37"/>
      <c r="M338" s="1"/>
      <c r="N338" s="1"/>
      <c r="O338"/>
      <c r="Q338"/>
      <c r="R338"/>
      <c r="S338"/>
      <c r="T338"/>
      <c r="U338"/>
      <c r="V338"/>
      <c r="W338"/>
    </row>
    <row r="339" spans="1:23" ht="12.75">
      <c r="A339" s="92"/>
      <c r="B339" s="32" t="s">
        <v>109</v>
      </c>
      <c r="C339" s="108" t="s">
        <v>18</v>
      </c>
      <c r="D339" s="94"/>
      <c r="E339" s="93">
        <f>0.94*106.2%</f>
        <v>0.99828</v>
      </c>
      <c r="F339" s="57"/>
      <c r="G339" s="57"/>
      <c r="H339" s="40"/>
      <c r="I339" s="163"/>
      <c r="J339" s="156"/>
      <c r="K339" s="156"/>
      <c r="L339" s="156"/>
      <c r="M339" s="156"/>
      <c r="N339" s="157"/>
      <c r="O339" s="156"/>
      <c r="Q339"/>
      <c r="R339"/>
      <c r="S339"/>
      <c r="T339"/>
      <c r="U339"/>
      <c r="V339"/>
      <c r="W339"/>
    </row>
    <row r="340" spans="1:23" ht="12.75">
      <c r="A340" s="92"/>
      <c r="B340" s="94" t="s">
        <v>39</v>
      </c>
      <c r="C340" s="108" t="s">
        <v>19</v>
      </c>
      <c r="D340" s="53"/>
      <c r="E340" s="93">
        <v>0.5355</v>
      </c>
      <c r="F340" s="159"/>
      <c r="G340" s="57"/>
      <c r="H340" s="40"/>
      <c r="I340" s="220"/>
      <c r="J340" s="220"/>
      <c r="K340" s="164"/>
      <c r="L340" s="164"/>
      <c r="M340" s="164"/>
      <c r="N340" s="221"/>
      <c r="O340" s="161">
        <f>SUM(H341:H343)*E340</f>
        <v>1382.1079214628</v>
      </c>
      <c r="Q340"/>
      <c r="R340"/>
      <c r="S340"/>
      <c r="T340"/>
      <c r="U340"/>
      <c r="V340"/>
      <c r="W340"/>
    </row>
    <row r="341" spans="1:23" ht="12.75">
      <c r="A341" s="44"/>
      <c r="B341" s="101">
        <v>1</v>
      </c>
      <c r="C341" s="172" t="s">
        <v>20</v>
      </c>
      <c r="D341" s="101" t="s">
        <v>21</v>
      </c>
      <c r="E341" s="46">
        <f>1.2*1.15*201</f>
        <v>277.38</v>
      </c>
      <c r="F341" s="57">
        <f>E341*F338</f>
        <v>34.39512</v>
      </c>
      <c r="G341" s="34">
        <v>74.53</v>
      </c>
      <c r="H341" s="162">
        <f>PRODUCT(F341,G341)</f>
        <v>2563.4682936</v>
      </c>
      <c r="I341" s="220"/>
      <c r="J341" s="220"/>
      <c r="K341" s="164"/>
      <c r="L341" s="161">
        <f>SUM(H341)</f>
        <v>2563.4682936</v>
      </c>
      <c r="M341" s="164"/>
      <c r="N341" s="122"/>
      <c r="O341" s="50"/>
      <c r="P341" s="156"/>
      <c r="Q341"/>
      <c r="R341"/>
      <c r="S341"/>
      <c r="T341"/>
      <c r="U341"/>
      <c r="V341"/>
      <c r="W341"/>
    </row>
    <row r="342" spans="1:23" ht="12.75">
      <c r="A342" s="44"/>
      <c r="B342" s="123"/>
      <c r="C342" s="172" t="s">
        <v>22</v>
      </c>
      <c r="D342" s="101" t="s">
        <v>165</v>
      </c>
      <c r="E342" s="109">
        <v>3.3</v>
      </c>
      <c r="F342" s="57"/>
      <c r="G342" s="46"/>
      <c r="H342" s="76"/>
      <c r="I342" s="165"/>
      <c r="J342" s="165"/>
      <c r="K342" s="161">
        <f>SUM(H341:H343)*E339</f>
        <v>2576.527910061408</v>
      </c>
      <c r="L342" s="164"/>
      <c r="M342" s="164"/>
      <c r="N342" s="47"/>
      <c r="O342" s="27"/>
      <c r="P342" s="156"/>
      <c r="Q342"/>
      <c r="R342"/>
      <c r="S342"/>
      <c r="T342"/>
      <c r="U342"/>
      <c r="V342"/>
      <c r="W342"/>
    </row>
    <row r="343" spans="1:23" ht="12.75">
      <c r="A343" s="44"/>
      <c r="B343" s="101">
        <v>2</v>
      </c>
      <c r="C343" s="172" t="s">
        <v>23</v>
      </c>
      <c r="D343" s="101" t="s">
        <v>21</v>
      </c>
      <c r="E343" s="109">
        <f>1.2*1.25*4.62-E348</f>
        <v>1.5750000000000002</v>
      </c>
      <c r="F343" s="57">
        <f>E343*F338</f>
        <v>0.19530000000000003</v>
      </c>
      <c r="G343" s="34">
        <v>89.6</v>
      </c>
      <c r="H343" s="162">
        <f>PRODUCT(F343,G343)</f>
        <v>17.49888</v>
      </c>
      <c r="I343" s="165"/>
      <c r="J343" s="165"/>
      <c r="K343" s="164"/>
      <c r="L343" s="164"/>
      <c r="M343" s="161">
        <f>SUM(H343)</f>
        <v>17.49888</v>
      </c>
      <c r="N343" s="47"/>
      <c r="O343" s="27"/>
      <c r="P343" s="156"/>
      <c r="Q343"/>
      <c r="R343"/>
      <c r="S343"/>
      <c r="T343"/>
      <c r="U343"/>
      <c r="V343"/>
      <c r="W343"/>
    </row>
    <row r="344" spans="1:23" ht="12.75">
      <c r="A344" s="44"/>
      <c r="B344" s="101">
        <v>3</v>
      </c>
      <c r="C344" s="172" t="s">
        <v>166</v>
      </c>
      <c r="D344" s="101" t="s">
        <v>165</v>
      </c>
      <c r="E344" s="109"/>
      <c r="F344" s="56"/>
      <c r="G344" s="96"/>
      <c r="H344" s="218"/>
      <c r="I344" s="224">
        <f>SUM(H345:H348)</f>
        <v>449.8130814</v>
      </c>
      <c r="J344" s="164"/>
      <c r="K344" s="164"/>
      <c r="L344" s="164"/>
      <c r="M344" s="161"/>
      <c r="N344" s="47"/>
      <c r="O344" s="27"/>
      <c r="P344" s="156"/>
      <c r="Q344"/>
      <c r="R344"/>
      <c r="S344"/>
      <c r="T344"/>
      <c r="U344"/>
      <c r="V344"/>
      <c r="W344"/>
    </row>
    <row r="345" spans="1:23" ht="12.75">
      <c r="A345" s="44"/>
      <c r="B345" s="101">
        <v>31121</v>
      </c>
      <c r="C345" s="172" t="s">
        <v>25</v>
      </c>
      <c r="D345" s="101" t="s">
        <v>26</v>
      </c>
      <c r="E345" s="109">
        <f>1.2*1.25*1.05</f>
        <v>1.5750000000000002</v>
      </c>
      <c r="F345" s="57">
        <f>E345*F338</f>
        <v>0.19530000000000003</v>
      </c>
      <c r="G345" s="34">
        <v>242.08</v>
      </c>
      <c r="H345" s="162">
        <f>PRODUCT(F345,G345)</f>
        <v>47.27822400000001</v>
      </c>
      <c r="I345" s="220"/>
      <c r="J345" s="165"/>
      <c r="K345" s="165"/>
      <c r="L345" s="165"/>
      <c r="M345" s="165"/>
      <c r="N345" s="51"/>
      <c r="O345" s="27"/>
      <c r="P345" s="156"/>
      <c r="Q345"/>
      <c r="R345"/>
      <c r="S345"/>
      <c r="T345"/>
      <c r="U345"/>
      <c r="V345"/>
      <c r="W345"/>
    </row>
    <row r="346" spans="1:23" ht="12.75">
      <c r="A346" s="44"/>
      <c r="B346" s="94"/>
      <c r="C346" s="95" t="s">
        <v>224</v>
      </c>
      <c r="D346" s="214" t="s">
        <v>26</v>
      </c>
      <c r="E346" s="109">
        <f>1.2*1.25*20.91</f>
        <v>31.365000000000002</v>
      </c>
      <c r="F346" s="57">
        <f>E346*F338</f>
        <v>3.88926</v>
      </c>
      <c r="G346" s="57">
        <v>11.01</v>
      </c>
      <c r="H346" s="162">
        <f>PRODUCT(F346,G346)</f>
        <v>42.8207526</v>
      </c>
      <c r="I346" s="220"/>
      <c r="J346" s="165"/>
      <c r="K346" s="165"/>
      <c r="L346" s="165"/>
      <c r="M346" s="165"/>
      <c r="N346" s="50"/>
      <c r="O346" s="27"/>
      <c r="P346" s="156"/>
      <c r="Q346"/>
      <c r="R346"/>
      <c r="S346"/>
      <c r="T346"/>
      <c r="U346"/>
      <c r="V346"/>
      <c r="W346"/>
    </row>
    <row r="347" spans="1:23" ht="12.75">
      <c r="A347" s="44"/>
      <c r="B347" s="94"/>
      <c r="C347" s="95" t="s">
        <v>225</v>
      </c>
      <c r="D347" s="214" t="s">
        <v>26</v>
      </c>
      <c r="E347" s="109">
        <f>1.2*1.25*32.21</f>
        <v>48.315</v>
      </c>
      <c r="F347" s="57">
        <f>E347*F338</f>
        <v>5.99106</v>
      </c>
      <c r="G347" s="34">
        <v>10.79</v>
      </c>
      <c r="H347" s="162">
        <f>PRODUCT(F347,G347)</f>
        <v>64.6435374</v>
      </c>
      <c r="I347" s="165"/>
      <c r="J347" s="165"/>
      <c r="K347" s="165"/>
      <c r="L347" s="165"/>
      <c r="M347" s="165"/>
      <c r="N347" s="50"/>
      <c r="O347" s="27"/>
      <c r="P347" s="156"/>
      <c r="Q347"/>
      <c r="R347"/>
      <c r="S347"/>
      <c r="T347"/>
      <c r="U347"/>
      <c r="V347"/>
      <c r="W347"/>
    </row>
    <row r="348" spans="1:23" s="27" customFormat="1" ht="12.75">
      <c r="A348" s="44"/>
      <c r="B348" s="94">
        <v>400001</v>
      </c>
      <c r="C348" s="95" t="s">
        <v>83</v>
      </c>
      <c r="D348" s="214" t="s">
        <v>26</v>
      </c>
      <c r="E348" s="109">
        <f>1.2*1.25*3.57</f>
        <v>5.3549999999999995</v>
      </c>
      <c r="F348" s="57">
        <f>E348*F338</f>
        <v>0.6640199999999999</v>
      </c>
      <c r="G348" s="66">
        <v>444.37</v>
      </c>
      <c r="H348" s="162">
        <f>PRODUCT(F348,G348)</f>
        <v>295.07056739999996</v>
      </c>
      <c r="I348" s="165"/>
      <c r="J348" s="224"/>
      <c r="K348" s="165"/>
      <c r="L348" s="165"/>
      <c r="M348" s="165"/>
      <c r="N348" s="122"/>
      <c r="P348" s="156"/>
      <c r="Q348"/>
      <c r="R348"/>
      <c r="S348"/>
      <c r="T348"/>
      <c r="U348"/>
      <c r="V348"/>
      <c r="W348"/>
    </row>
    <row r="349" spans="1:16" ht="12.75" customHeight="1">
      <c r="A349" s="44"/>
      <c r="B349" s="94"/>
      <c r="C349" s="95" t="s">
        <v>27</v>
      </c>
      <c r="D349" s="94"/>
      <c r="E349" s="109"/>
      <c r="F349" s="57"/>
      <c r="G349" s="34"/>
      <c r="H349" s="76"/>
      <c r="I349" s="165"/>
      <c r="J349" s="225">
        <f>SUM(H350:H356)</f>
        <v>102433.3</v>
      </c>
      <c r="K349" s="165"/>
      <c r="L349" s="165"/>
      <c r="M349" s="165"/>
      <c r="N349" s="51"/>
      <c r="O349" s="27"/>
      <c r="P349" s="27"/>
    </row>
    <row r="350" spans="1:16" ht="12.75" customHeight="1">
      <c r="A350" s="44"/>
      <c r="B350" s="94"/>
      <c r="C350" s="95" t="s">
        <v>209</v>
      </c>
      <c r="D350" s="94" t="s">
        <v>121</v>
      </c>
      <c r="E350" s="109">
        <v>123.5</v>
      </c>
      <c r="F350" s="57">
        <f>E350*F338</f>
        <v>15.314</v>
      </c>
      <c r="G350" s="34">
        <v>128</v>
      </c>
      <c r="H350" s="162">
        <f aca="true" t="shared" si="3" ref="H350:H356">PRODUCT(F350,G350)</f>
        <v>1960.192</v>
      </c>
      <c r="I350" s="165"/>
      <c r="J350" s="165"/>
      <c r="K350" s="165"/>
      <c r="L350" s="165"/>
      <c r="M350" s="165"/>
      <c r="N350" s="51"/>
      <c r="O350" s="27"/>
      <c r="P350" s="27"/>
    </row>
    <row r="351" spans="1:23" s="27" customFormat="1" ht="12.75">
      <c r="A351" s="44"/>
      <c r="B351" s="94"/>
      <c r="C351" s="95" t="s">
        <v>210</v>
      </c>
      <c r="D351" s="94" t="s">
        <v>226</v>
      </c>
      <c r="E351" s="109">
        <v>65.2</v>
      </c>
      <c r="F351" s="57">
        <f>E351*F338</f>
        <v>8.0848</v>
      </c>
      <c r="G351" s="34">
        <v>65</v>
      </c>
      <c r="H351" s="162">
        <f t="shared" si="3"/>
        <v>525.512</v>
      </c>
      <c r="I351" s="165"/>
      <c r="J351" s="165"/>
      <c r="K351" s="219"/>
      <c r="L351" s="165"/>
      <c r="M351" s="165"/>
      <c r="Q351" s="7"/>
      <c r="R351" s="7"/>
      <c r="S351" s="7"/>
      <c r="T351" s="7"/>
      <c r="U351" s="7"/>
      <c r="V351" s="7"/>
      <c r="W351" s="7"/>
    </row>
    <row r="352" spans="1:23" s="27" customFormat="1" ht="12.75">
      <c r="A352" s="44"/>
      <c r="B352" s="94"/>
      <c r="C352" s="172" t="s">
        <v>212</v>
      </c>
      <c r="D352" s="94" t="s">
        <v>26</v>
      </c>
      <c r="E352" s="109">
        <v>402</v>
      </c>
      <c r="F352" s="57">
        <f>E352*F338</f>
        <v>49.848</v>
      </c>
      <c r="G352" s="57">
        <v>12</v>
      </c>
      <c r="H352" s="162">
        <f t="shared" si="3"/>
        <v>598.1759999999999</v>
      </c>
      <c r="I352" s="165"/>
      <c r="J352" s="165"/>
      <c r="K352" s="219"/>
      <c r="L352" s="165"/>
      <c r="M352" s="165"/>
      <c r="Q352" s="7"/>
      <c r="R352" s="7"/>
      <c r="S352" s="7"/>
      <c r="T352" s="7"/>
      <c r="U352" s="7"/>
      <c r="V352" s="7"/>
      <c r="W352" s="7"/>
    </row>
    <row r="353" spans="1:23" s="27" customFormat="1" ht="12.75">
      <c r="A353" s="44"/>
      <c r="B353" s="94"/>
      <c r="C353" s="172" t="s">
        <v>213</v>
      </c>
      <c r="D353" s="94" t="s">
        <v>26</v>
      </c>
      <c r="E353" s="109">
        <v>43</v>
      </c>
      <c r="F353" s="57">
        <f>E353*F338</f>
        <v>5.332</v>
      </c>
      <c r="G353" s="34">
        <v>21</v>
      </c>
      <c r="H353" s="162">
        <f t="shared" si="3"/>
        <v>111.972</v>
      </c>
      <c r="I353" s="157"/>
      <c r="J353" s="157"/>
      <c r="K353" s="157"/>
      <c r="L353" s="160"/>
      <c r="M353" s="157"/>
      <c r="N353" s="51"/>
      <c r="Q353" s="7"/>
      <c r="R353" s="7"/>
      <c r="S353" s="7"/>
      <c r="T353" s="7"/>
      <c r="U353" s="7"/>
      <c r="V353" s="7"/>
      <c r="W353" s="7"/>
    </row>
    <row r="354" spans="1:23" s="27" customFormat="1" ht="12.75">
      <c r="A354" s="117"/>
      <c r="B354" s="94"/>
      <c r="C354" s="172" t="s">
        <v>214</v>
      </c>
      <c r="D354" s="94" t="s">
        <v>26</v>
      </c>
      <c r="E354" s="109">
        <v>293</v>
      </c>
      <c r="F354" s="57">
        <f>E354*F338</f>
        <v>36.332</v>
      </c>
      <c r="G354" s="34">
        <v>14</v>
      </c>
      <c r="H354" s="162">
        <f t="shared" si="3"/>
        <v>508.648</v>
      </c>
      <c r="I354" s="165"/>
      <c r="J354" s="165"/>
      <c r="K354" s="219"/>
      <c r="L354" s="165"/>
      <c r="M354" s="165"/>
      <c r="N354" s="122"/>
      <c r="O354" s="50"/>
      <c r="Q354" s="7"/>
      <c r="R354" s="7"/>
      <c r="S354" s="7"/>
      <c r="T354" s="7"/>
      <c r="U354" s="7"/>
      <c r="V354" s="7"/>
      <c r="W354" s="7"/>
    </row>
    <row r="355" spans="1:23" s="27" customFormat="1" ht="12.75">
      <c r="A355" s="117"/>
      <c r="B355" s="48"/>
      <c r="C355" s="31" t="s">
        <v>227</v>
      </c>
      <c r="D355" s="32" t="s">
        <v>121</v>
      </c>
      <c r="E355" s="46">
        <v>800</v>
      </c>
      <c r="F355" s="57">
        <f>E355*F338</f>
        <v>99.2</v>
      </c>
      <c r="G355" s="46">
        <v>1.5</v>
      </c>
      <c r="H355" s="162">
        <f t="shared" si="3"/>
        <v>148.8</v>
      </c>
      <c r="I355" s="165"/>
      <c r="J355" s="165"/>
      <c r="K355" s="165"/>
      <c r="L355" s="165"/>
      <c r="M355" s="219"/>
      <c r="N355" s="28"/>
      <c r="O355" s="120"/>
      <c r="P355" s="165"/>
      <c r="Q355" s="7"/>
      <c r="R355" s="7"/>
      <c r="S355" s="7"/>
      <c r="T355" s="7"/>
      <c r="U355" s="7"/>
      <c r="V355" s="7"/>
      <c r="W355" s="7"/>
    </row>
    <row r="356" spans="1:23" s="27" customFormat="1" ht="25.5">
      <c r="A356" s="117"/>
      <c r="B356" s="32"/>
      <c r="C356" s="31" t="s">
        <v>228</v>
      </c>
      <c r="D356" s="32" t="s">
        <v>94</v>
      </c>
      <c r="E356" s="46">
        <v>100</v>
      </c>
      <c r="F356" s="57">
        <f>E356*F338</f>
        <v>12.4</v>
      </c>
      <c r="G356" s="46">
        <v>7950</v>
      </c>
      <c r="H356" s="162">
        <f t="shared" si="3"/>
        <v>98580</v>
      </c>
      <c r="I356" s="219"/>
      <c r="J356" s="165"/>
      <c r="K356" s="165"/>
      <c r="L356" s="165"/>
      <c r="M356" s="165"/>
      <c r="N356" s="122"/>
      <c r="O356" s="50"/>
      <c r="P356" s="165"/>
      <c r="Q356" s="7"/>
      <c r="R356" s="7"/>
      <c r="S356" s="7"/>
      <c r="T356" s="7"/>
      <c r="U356" s="7"/>
      <c r="V356" s="7"/>
      <c r="W356" s="7"/>
    </row>
    <row r="357" spans="1:23" s="27" customFormat="1" ht="38.25">
      <c r="A357" s="92">
        <v>7</v>
      </c>
      <c r="B357" s="227" t="s">
        <v>229</v>
      </c>
      <c r="C357" s="155" t="s">
        <v>230</v>
      </c>
      <c r="D357" s="38" t="s">
        <v>359</v>
      </c>
      <c r="E357" s="228"/>
      <c r="F357" s="229">
        <v>0.05</v>
      </c>
      <c r="G357" s="57"/>
      <c r="H357" s="218"/>
      <c r="I357" s="230"/>
      <c r="J357" s="230"/>
      <c r="K357" s="230"/>
      <c r="L357" s="230"/>
      <c r="M357" s="230"/>
      <c r="N357" s="230"/>
      <c r="O357" s="156"/>
      <c r="P357" s="156"/>
      <c r="Q357" s="7"/>
      <c r="R357" s="7"/>
      <c r="S357" s="7"/>
      <c r="T357" s="7"/>
      <c r="U357" s="7"/>
      <c r="V357" s="7"/>
      <c r="W357" s="7"/>
    </row>
    <row r="358" spans="1:23" s="27" customFormat="1" ht="12.75">
      <c r="A358" s="92"/>
      <c r="B358" s="30" t="s">
        <v>38</v>
      </c>
      <c r="C358" s="31" t="s">
        <v>18</v>
      </c>
      <c r="D358" s="32"/>
      <c r="E358" s="93">
        <f>94.5%*0.94</f>
        <v>0.8882999999999999</v>
      </c>
      <c r="F358" s="46"/>
      <c r="G358" s="34"/>
      <c r="H358" s="40"/>
      <c r="I358" s="161"/>
      <c r="J358" s="164"/>
      <c r="K358" s="164"/>
      <c r="L358" s="161"/>
      <c r="M358" s="164"/>
      <c r="N358" s="164"/>
      <c r="O358" s="156"/>
      <c r="Q358" s="7"/>
      <c r="R358" s="7"/>
      <c r="S358" s="7"/>
      <c r="T358" s="7"/>
      <c r="U358" s="7"/>
      <c r="V358" s="7"/>
      <c r="W358" s="7"/>
    </row>
    <row r="359" spans="1:16" ht="12.75">
      <c r="A359" s="92"/>
      <c r="B359" s="94" t="s">
        <v>39</v>
      </c>
      <c r="C359" s="31" t="s">
        <v>19</v>
      </c>
      <c r="D359" s="38"/>
      <c r="E359" s="93">
        <v>0.4675</v>
      </c>
      <c r="F359" s="46"/>
      <c r="G359" s="34"/>
      <c r="H359" s="40"/>
      <c r="I359" s="121"/>
      <c r="J359" s="121"/>
      <c r="K359" s="47"/>
      <c r="L359" s="47"/>
      <c r="M359" s="47"/>
      <c r="N359" s="122"/>
      <c r="O359" s="50">
        <f>SUM(H360:H362)*E359</f>
        <v>418.667698152</v>
      </c>
      <c r="P359" s="27"/>
    </row>
    <row r="360" spans="1:16" ht="12.75">
      <c r="A360" s="136"/>
      <c r="B360" s="94">
        <v>1</v>
      </c>
      <c r="C360" s="108" t="s">
        <v>20</v>
      </c>
      <c r="D360" s="231" t="s">
        <v>21</v>
      </c>
      <c r="E360" s="55">
        <f>1.2*1.15*173.28</f>
        <v>239.1264</v>
      </c>
      <c r="F360" s="46">
        <f>PRODUCT(F357,E360)</f>
        <v>11.95632</v>
      </c>
      <c r="G360" s="46">
        <v>73.62</v>
      </c>
      <c r="H360" s="36">
        <f>PRODUCT(F360,G360)</f>
        <v>880.2242784</v>
      </c>
      <c r="I360" s="121"/>
      <c r="J360" s="121"/>
      <c r="K360" s="47"/>
      <c r="L360" s="50">
        <f>SUM(H360)</f>
        <v>880.2242784</v>
      </c>
      <c r="M360" s="47"/>
      <c r="N360" s="47"/>
      <c r="O360" s="27"/>
      <c r="P360" s="156"/>
    </row>
    <row r="361" spans="1:16" ht="12.75">
      <c r="A361" s="136"/>
      <c r="B361" s="69"/>
      <c r="C361" s="232" t="s">
        <v>22</v>
      </c>
      <c r="D361" s="53"/>
      <c r="E361" s="55">
        <v>3.2</v>
      </c>
      <c r="F361" s="46"/>
      <c r="G361" s="46"/>
      <c r="H361" s="36"/>
      <c r="I361" s="27"/>
      <c r="J361" s="27"/>
      <c r="K361" s="50">
        <f>SUM(H360:H362)*E358</f>
        <v>795.5134037827198</v>
      </c>
      <c r="L361" s="47"/>
      <c r="M361" s="47"/>
      <c r="N361" s="47"/>
      <c r="O361" s="27"/>
      <c r="P361" s="156"/>
    </row>
    <row r="362" spans="1:16" ht="12.75">
      <c r="A362" s="136"/>
      <c r="B362" s="94">
        <v>2</v>
      </c>
      <c r="C362" s="108" t="s">
        <v>23</v>
      </c>
      <c r="D362" s="94" t="s">
        <v>21</v>
      </c>
      <c r="E362" s="55">
        <f>1.2*1.25*2.78-E366</f>
        <v>3.42</v>
      </c>
      <c r="F362" s="46">
        <f>PRODUCT(F357,E362)</f>
        <v>0.171</v>
      </c>
      <c r="G362" s="46">
        <v>89.6</v>
      </c>
      <c r="H362" s="36">
        <f>PRODUCT(F362,G362)</f>
        <v>15.3216</v>
      </c>
      <c r="I362" s="27"/>
      <c r="J362" s="27"/>
      <c r="K362" s="47"/>
      <c r="L362" s="47"/>
      <c r="M362" s="50">
        <f>SUM(H362)</f>
        <v>15.3216</v>
      </c>
      <c r="N362" s="47"/>
      <c r="O362" s="27"/>
      <c r="P362" s="156"/>
    </row>
    <row r="363" spans="1:16" ht="12.75">
      <c r="A363" s="136"/>
      <c r="B363" s="69"/>
      <c r="C363" s="108" t="s">
        <v>24</v>
      </c>
      <c r="D363" s="94"/>
      <c r="E363" s="55"/>
      <c r="F363" s="46"/>
      <c r="G363" s="34"/>
      <c r="H363" s="36"/>
      <c r="I363" s="26">
        <f>SUM(H364:H366)</f>
        <v>37.678920000000005</v>
      </c>
      <c r="J363" s="27"/>
      <c r="K363" s="27"/>
      <c r="L363" s="27"/>
      <c r="M363" s="27"/>
      <c r="N363" s="27"/>
      <c r="O363" s="27"/>
      <c r="P363" s="156"/>
    </row>
    <row r="364" spans="1:16" ht="12.75" customHeight="1">
      <c r="A364" s="136"/>
      <c r="B364" s="94">
        <v>110900</v>
      </c>
      <c r="C364" s="108" t="s">
        <v>231</v>
      </c>
      <c r="D364" s="94" t="s">
        <v>26</v>
      </c>
      <c r="E364" s="55">
        <f>1.2*1.25*1.97</f>
        <v>2.955</v>
      </c>
      <c r="F364" s="46">
        <f>PRODUCT(F357,E364)</f>
        <v>0.14775000000000002</v>
      </c>
      <c r="G364" s="57">
        <v>104.14</v>
      </c>
      <c r="H364" s="36">
        <f>PRODUCT(F364,G364)</f>
        <v>15.386685000000002</v>
      </c>
      <c r="I364" s="27"/>
      <c r="J364" s="27"/>
      <c r="K364" s="27"/>
      <c r="L364" s="27"/>
      <c r="M364" s="27"/>
      <c r="N364" s="27"/>
      <c r="O364" s="27"/>
      <c r="P364" s="156"/>
    </row>
    <row r="365" spans="1:16" ht="25.5">
      <c r="A365" s="136"/>
      <c r="B365" s="94">
        <v>31121</v>
      </c>
      <c r="C365" s="108" t="s">
        <v>139</v>
      </c>
      <c r="D365" s="94" t="s">
        <v>26</v>
      </c>
      <c r="E365" s="233">
        <f>1.2*1.25*0.31</f>
        <v>0.46499999999999997</v>
      </c>
      <c r="F365" s="46">
        <f>PRODUCT(F357,E365)</f>
        <v>0.02325</v>
      </c>
      <c r="G365" s="57">
        <v>242.08</v>
      </c>
      <c r="H365" s="36">
        <f>PRODUCT(F365,G365)</f>
        <v>5.62836</v>
      </c>
      <c r="I365" s="27"/>
      <c r="J365" s="27"/>
      <c r="K365" s="27"/>
      <c r="L365" s="27"/>
      <c r="M365" s="27"/>
      <c r="N365" s="27"/>
      <c r="O365" s="27"/>
      <c r="P365" s="156"/>
    </row>
    <row r="366" spans="1:16" ht="25.5">
      <c r="A366" s="136"/>
      <c r="B366" s="94">
        <v>400001</v>
      </c>
      <c r="C366" s="108" t="s">
        <v>157</v>
      </c>
      <c r="D366" s="94" t="s">
        <v>26</v>
      </c>
      <c r="E366" s="55">
        <f>1.2*1.25*0.5</f>
        <v>0.75</v>
      </c>
      <c r="F366" s="46">
        <f>PRODUCT(F357,E366)</f>
        <v>0.037500000000000006</v>
      </c>
      <c r="G366" s="57">
        <v>444.37</v>
      </c>
      <c r="H366" s="36">
        <f>PRODUCT(F366,G366)</f>
        <v>16.663875</v>
      </c>
      <c r="I366" s="27"/>
      <c r="J366" s="27"/>
      <c r="K366" s="50"/>
      <c r="L366" s="47"/>
      <c r="M366" s="47"/>
      <c r="N366" s="47"/>
      <c r="O366" s="27"/>
      <c r="P366" s="156"/>
    </row>
    <row r="367" spans="1:16" ht="12.75">
      <c r="A367" s="136"/>
      <c r="B367" s="94">
        <v>4</v>
      </c>
      <c r="C367" s="108" t="s">
        <v>27</v>
      </c>
      <c r="D367" s="94"/>
      <c r="E367" s="55"/>
      <c r="F367" s="46"/>
      <c r="G367" s="34"/>
      <c r="H367" s="36"/>
      <c r="I367" s="26"/>
      <c r="J367" s="26">
        <f>SUM(H368:H373)</f>
        <v>964.7273</v>
      </c>
      <c r="K367" s="27"/>
      <c r="L367" s="27"/>
      <c r="M367" s="27"/>
      <c r="N367" s="27"/>
      <c r="O367" s="27"/>
      <c r="P367" s="156"/>
    </row>
    <row r="368" spans="1:16" ht="25.5">
      <c r="A368" s="136"/>
      <c r="B368" s="94" t="s">
        <v>232</v>
      </c>
      <c r="C368" s="108" t="s">
        <v>233</v>
      </c>
      <c r="D368" s="94" t="s">
        <v>94</v>
      </c>
      <c r="E368" s="55">
        <v>105</v>
      </c>
      <c r="F368" s="46">
        <f>PRODUCT(F357,E368)</f>
        <v>5.25</v>
      </c>
      <c r="G368" s="59">
        <v>148</v>
      </c>
      <c r="H368" s="36">
        <f aca="true" t="shared" si="4" ref="H368:H373">PRODUCT(F368,G368)</f>
        <v>777</v>
      </c>
      <c r="I368" s="27"/>
      <c r="J368" s="27"/>
      <c r="K368" s="27"/>
      <c r="L368" s="27"/>
      <c r="M368" s="27"/>
      <c r="N368" s="27"/>
      <c r="O368" s="27"/>
      <c r="P368" s="156"/>
    </row>
    <row r="369" spans="1:16" ht="25.5">
      <c r="A369" s="92"/>
      <c r="B369" s="231" t="s">
        <v>234</v>
      </c>
      <c r="C369" s="234" t="s">
        <v>235</v>
      </c>
      <c r="D369" s="231" t="s">
        <v>35</v>
      </c>
      <c r="E369" s="235">
        <v>0.002</v>
      </c>
      <c r="F369" s="46">
        <f>PRODUCT(F357,E369)</f>
        <v>0.0001</v>
      </c>
      <c r="G369" s="67">
        <v>34890</v>
      </c>
      <c r="H369" s="36">
        <f t="shared" si="4"/>
        <v>3.4890000000000003</v>
      </c>
      <c r="I369" s="27"/>
      <c r="J369" s="27"/>
      <c r="K369" s="27"/>
      <c r="L369" s="27"/>
      <c r="M369" s="27"/>
      <c r="N369" s="27"/>
      <c r="O369" s="27"/>
      <c r="P369" s="156"/>
    </row>
    <row r="370" spans="1:16" ht="12.75">
      <c r="A370" s="136"/>
      <c r="B370" s="231" t="s">
        <v>236</v>
      </c>
      <c r="C370" s="234" t="s">
        <v>237</v>
      </c>
      <c r="D370" s="94" t="s">
        <v>35</v>
      </c>
      <c r="E370" s="236">
        <v>0.49</v>
      </c>
      <c r="F370" s="46">
        <f>PRODUCT(F357,E370)</f>
        <v>0.0245</v>
      </c>
      <c r="G370" s="34">
        <v>6700</v>
      </c>
      <c r="H370" s="36">
        <f t="shared" si="4"/>
        <v>164.15</v>
      </c>
      <c r="I370" s="27"/>
      <c r="J370" s="27"/>
      <c r="K370" s="27"/>
      <c r="L370" s="27"/>
      <c r="M370" s="27"/>
      <c r="N370" s="27"/>
      <c r="O370" s="27"/>
      <c r="P370" s="156"/>
    </row>
    <row r="371" spans="1:16" ht="12.75">
      <c r="A371" s="136"/>
      <c r="B371" s="231" t="s">
        <v>238</v>
      </c>
      <c r="C371" s="234" t="s">
        <v>239</v>
      </c>
      <c r="D371" s="231" t="s">
        <v>240</v>
      </c>
      <c r="E371" s="235">
        <v>1.71</v>
      </c>
      <c r="F371" s="46">
        <f>PRODUCT(F357,E371)</f>
        <v>0.0855</v>
      </c>
      <c r="G371" s="46">
        <v>123</v>
      </c>
      <c r="H371" s="36">
        <f t="shared" si="4"/>
        <v>10.5165</v>
      </c>
      <c r="I371" s="27"/>
      <c r="J371" s="27"/>
      <c r="K371" s="27"/>
      <c r="L371" s="27"/>
      <c r="M371" s="27"/>
      <c r="N371" s="27"/>
      <c r="O371" s="27"/>
      <c r="P371" s="156"/>
    </row>
    <row r="372" spans="1:16" ht="25.5">
      <c r="A372" s="136"/>
      <c r="B372" s="231" t="s">
        <v>241</v>
      </c>
      <c r="C372" s="237" t="s">
        <v>242</v>
      </c>
      <c r="D372" s="231" t="s">
        <v>30</v>
      </c>
      <c r="E372" s="235">
        <v>0.03</v>
      </c>
      <c r="F372" s="46">
        <f>PRODUCT(F357,E372)</f>
        <v>0.0015</v>
      </c>
      <c r="G372" s="238">
        <v>2682</v>
      </c>
      <c r="H372" s="36">
        <f t="shared" si="4"/>
        <v>4.023</v>
      </c>
      <c r="I372" s="239"/>
      <c r="J372" s="239"/>
      <c r="K372" s="239"/>
      <c r="L372" s="239"/>
      <c r="M372" s="239"/>
      <c r="N372" s="239"/>
      <c r="O372" s="240"/>
      <c r="P372" s="156"/>
    </row>
    <row r="373" spans="1:16" ht="12.75">
      <c r="A373" s="136"/>
      <c r="B373" s="231" t="s">
        <v>243</v>
      </c>
      <c r="C373" s="108" t="s">
        <v>244</v>
      </c>
      <c r="D373" s="94" t="s">
        <v>35</v>
      </c>
      <c r="E373" s="55">
        <v>0.0048</v>
      </c>
      <c r="F373" s="46">
        <f>PRODUCT(F357,E373)</f>
        <v>0.00023999999999999998</v>
      </c>
      <c r="G373" s="34">
        <v>23120</v>
      </c>
      <c r="H373" s="36">
        <f t="shared" si="4"/>
        <v>5.5488</v>
      </c>
      <c r="I373" s="220"/>
      <c r="J373" s="220"/>
      <c r="K373" s="164"/>
      <c r="L373" s="161"/>
      <c r="M373" s="164"/>
      <c r="N373" s="164"/>
      <c r="O373" s="156"/>
      <c r="P373" s="156"/>
    </row>
    <row r="374" spans="1:14" ht="25.5">
      <c r="A374" s="139">
        <v>8</v>
      </c>
      <c r="B374" s="140" t="s">
        <v>147</v>
      </c>
      <c r="C374" s="141" t="s">
        <v>245</v>
      </c>
      <c r="D374" s="140" t="s">
        <v>359</v>
      </c>
      <c r="E374" s="133"/>
      <c r="F374" s="142">
        <v>0.05</v>
      </c>
      <c r="G374" s="59"/>
      <c r="H374" s="143"/>
      <c r="I374" s="4"/>
      <c r="J374" s="4"/>
      <c r="K374" s="4"/>
      <c r="L374" s="43"/>
      <c r="M374" s="4"/>
      <c r="N374" s="4"/>
    </row>
    <row r="375" spans="1:14" ht="12.75">
      <c r="A375" s="241"/>
      <c r="B375" s="132" t="s">
        <v>109</v>
      </c>
      <c r="C375" s="144" t="s">
        <v>18</v>
      </c>
      <c r="D375" s="132"/>
      <c r="E375" s="145">
        <f>0.94*94.5%</f>
        <v>0.8882999999999999</v>
      </c>
      <c r="F375" s="146"/>
      <c r="G375" s="147"/>
      <c r="H375" s="148"/>
      <c r="I375" s="4"/>
      <c r="J375" s="4"/>
      <c r="K375" s="43"/>
      <c r="L375" s="4"/>
      <c r="M375" s="4"/>
      <c r="N375" s="43"/>
    </row>
    <row r="376" spans="1:15" ht="12.75">
      <c r="A376" s="241"/>
      <c r="B376" s="94" t="s">
        <v>39</v>
      </c>
      <c r="C376" s="144" t="s">
        <v>19</v>
      </c>
      <c r="D376" s="132"/>
      <c r="E376" s="145">
        <v>0.4675</v>
      </c>
      <c r="F376" s="146"/>
      <c r="G376" s="147"/>
      <c r="H376" s="149"/>
      <c r="I376" s="41"/>
      <c r="J376" s="41"/>
      <c r="K376" s="4"/>
      <c r="L376" s="4"/>
      <c r="M376" s="4"/>
      <c r="N376" s="42"/>
      <c r="O376" s="43">
        <f>SUM(H377:H379)*E376</f>
        <v>31.011486742499997</v>
      </c>
    </row>
    <row r="377" spans="1:14" ht="12.75">
      <c r="A377" s="241"/>
      <c r="B377" s="132">
        <v>1</v>
      </c>
      <c r="C377" s="144" t="s">
        <v>149</v>
      </c>
      <c r="D377" s="132" t="s">
        <v>21</v>
      </c>
      <c r="E377" s="133">
        <f>1.2*1.15*11.99</f>
        <v>16.5462</v>
      </c>
      <c r="F377" s="59">
        <f>PRODUCT(F374,E377)</f>
        <v>0.82731</v>
      </c>
      <c r="G377" s="59">
        <v>80.1</v>
      </c>
      <c r="H377" s="135">
        <f>PRODUCT(F377,G377)</f>
        <v>66.26753099999999</v>
      </c>
      <c r="I377" s="41"/>
      <c r="J377" s="41"/>
      <c r="K377" s="4"/>
      <c r="L377" s="43">
        <f>SUM(H377)</f>
        <v>66.26753099999999</v>
      </c>
      <c r="M377" s="4"/>
      <c r="N377" s="4"/>
    </row>
    <row r="378" spans="1:23" ht="12.75">
      <c r="A378" s="241"/>
      <c r="B378" s="150" t="s">
        <v>150</v>
      </c>
      <c r="C378" s="131" t="s">
        <v>22</v>
      </c>
      <c r="D378" s="132"/>
      <c r="E378" s="133">
        <v>3.9</v>
      </c>
      <c r="F378" s="59"/>
      <c r="G378" s="59"/>
      <c r="H378" s="135"/>
      <c r="K378" s="43">
        <f>SUM(H377:H379)*E375</f>
        <v>58.92514154729998</v>
      </c>
      <c r="L378" s="4"/>
      <c r="M378" s="4"/>
      <c r="N378" s="4"/>
      <c r="Q378" s="27"/>
      <c r="R378" s="27"/>
      <c r="S378" s="27"/>
      <c r="T378" s="27"/>
      <c r="U378" s="27"/>
      <c r="V378" s="27"/>
      <c r="W378" s="27"/>
    </row>
    <row r="379" spans="1:14" ht="12" customHeight="1">
      <c r="A379" s="241"/>
      <c r="B379" s="132">
        <v>2</v>
      </c>
      <c r="C379" s="131" t="s">
        <v>23</v>
      </c>
      <c r="D379" s="132" t="s">
        <v>21</v>
      </c>
      <c r="E379" s="133">
        <f>E382</f>
        <v>0.015</v>
      </c>
      <c r="F379" s="59">
        <f>PRODUCT(F374,E379)</f>
        <v>0.00075</v>
      </c>
      <c r="G379" s="66">
        <v>89.6</v>
      </c>
      <c r="H379" s="135">
        <f>PRODUCT(F379,G379)</f>
        <v>0.0672</v>
      </c>
      <c r="K379" s="4"/>
      <c r="L379" s="4"/>
      <c r="M379" s="43">
        <f>SUM(H379)</f>
        <v>0.0672</v>
      </c>
      <c r="N379" s="4"/>
    </row>
    <row r="380" spans="1:14" ht="12.75">
      <c r="A380" s="241"/>
      <c r="B380" s="132">
        <v>3</v>
      </c>
      <c r="C380" s="131" t="s">
        <v>24</v>
      </c>
      <c r="D380" s="132"/>
      <c r="E380" s="133"/>
      <c r="F380" s="59"/>
      <c r="G380" s="59"/>
      <c r="H380" s="135"/>
      <c r="I380" s="151">
        <f>SUM(H381:H382)</f>
        <v>1.1813924999999998</v>
      </c>
      <c r="J380" s="152"/>
      <c r="K380" s="152"/>
      <c r="L380" s="151"/>
      <c r="M380" s="152"/>
      <c r="N380" s="152"/>
    </row>
    <row r="381" spans="1:23" ht="12.75">
      <c r="A381" s="241"/>
      <c r="B381" s="132">
        <v>400001</v>
      </c>
      <c r="C381" s="131" t="s">
        <v>151</v>
      </c>
      <c r="D381" s="132" t="s">
        <v>26</v>
      </c>
      <c r="E381" s="133">
        <f>1.2*1.25*0.03</f>
        <v>0.045</v>
      </c>
      <c r="F381" s="59">
        <f>PRODUCT(F374,E381)</f>
        <v>0.00225</v>
      </c>
      <c r="G381" s="57">
        <v>444.37</v>
      </c>
      <c r="H381" s="135">
        <f>PRODUCT(F381,G381)</f>
        <v>0.9998324999999999</v>
      </c>
      <c r="I381" s="4"/>
      <c r="J381" s="4"/>
      <c r="K381" s="4"/>
      <c r="L381" s="43"/>
      <c r="M381" s="4"/>
      <c r="N381" s="4"/>
      <c r="Q381" s="27"/>
      <c r="R381" s="27"/>
      <c r="S381" s="27"/>
      <c r="T381" s="27"/>
      <c r="U381" s="27"/>
      <c r="V381" s="27"/>
      <c r="W381" s="27"/>
    </row>
    <row r="382" spans="1:23" ht="12.75">
      <c r="A382" s="241"/>
      <c r="B382" s="132">
        <v>31121</v>
      </c>
      <c r="C382" s="131" t="s">
        <v>25</v>
      </c>
      <c r="D382" s="132" t="s">
        <v>26</v>
      </c>
      <c r="E382" s="133">
        <f>1.2*1.25*0.01</f>
        <v>0.015</v>
      </c>
      <c r="F382" s="59">
        <f>PRODUCT(F374,E382)</f>
        <v>0.00075</v>
      </c>
      <c r="G382" s="57">
        <v>242.08</v>
      </c>
      <c r="H382" s="135">
        <f>PRODUCT(F382,G382)</f>
        <v>0.18156000000000003</v>
      </c>
      <c r="I382" s="4"/>
      <c r="J382" s="4"/>
      <c r="K382" s="43"/>
      <c r="L382" s="4"/>
      <c r="M382" s="4"/>
      <c r="N382" s="43"/>
      <c r="Q382" s="27"/>
      <c r="R382" s="27"/>
      <c r="S382" s="27"/>
      <c r="T382" s="27"/>
      <c r="U382" s="27"/>
      <c r="V382" s="27"/>
      <c r="W382" s="27"/>
    </row>
    <row r="383" spans="1:23" ht="12.75">
      <c r="A383" s="241"/>
      <c r="B383" s="132">
        <v>4</v>
      </c>
      <c r="C383" s="131" t="s">
        <v>27</v>
      </c>
      <c r="D383" s="132"/>
      <c r="E383" s="133"/>
      <c r="F383" s="59"/>
      <c r="G383" s="59"/>
      <c r="H383" s="135"/>
      <c r="I383" s="4"/>
      <c r="J383" s="151">
        <f>SUM(H384:H386)</f>
        <v>18.006666</v>
      </c>
      <c r="K383" s="4"/>
      <c r="L383" s="4"/>
      <c r="M383" s="4"/>
      <c r="N383" s="43"/>
      <c r="Q383" s="27"/>
      <c r="R383" s="27"/>
      <c r="S383" s="27"/>
      <c r="T383" s="27"/>
      <c r="U383" s="27"/>
      <c r="V383" s="27"/>
      <c r="W383" s="27"/>
    </row>
    <row r="384" spans="1:23" ht="12.75">
      <c r="A384" s="241"/>
      <c r="B384" s="132" t="s">
        <v>90</v>
      </c>
      <c r="C384" s="131" t="s">
        <v>91</v>
      </c>
      <c r="D384" s="132" t="s">
        <v>35</v>
      </c>
      <c r="E384" s="133">
        <v>0.029</v>
      </c>
      <c r="F384" s="59">
        <f>PRODUCT(F374,E384)</f>
        <v>0.0014500000000000001</v>
      </c>
      <c r="G384" s="59">
        <v>12400</v>
      </c>
      <c r="H384" s="135">
        <f>PRODUCT(F384,G384)</f>
        <v>17.98</v>
      </c>
      <c r="I384" s="4"/>
      <c r="J384" s="153"/>
      <c r="K384" s="4"/>
      <c r="L384" s="4"/>
      <c r="M384" s="4"/>
      <c r="N384" s="42"/>
      <c r="Q384" s="27"/>
      <c r="R384" s="27"/>
      <c r="S384" s="27"/>
      <c r="T384" s="27"/>
      <c r="U384" s="27"/>
      <c r="V384" s="27"/>
      <c r="W384" s="27"/>
    </row>
    <row r="385" spans="1:23" ht="12.75">
      <c r="A385" s="241"/>
      <c r="B385" s="132" t="s">
        <v>84</v>
      </c>
      <c r="C385" s="131" t="s">
        <v>85</v>
      </c>
      <c r="D385" s="132" t="s">
        <v>72</v>
      </c>
      <c r="E385" s="133">
        <v>0.15</v>
      </c>
      <c r="F385" s="59">
        <f>PRODUCT(F374,E385)</f>
        <v>0.0075</v>
      </c>
      <c r="G385" s="59">
        <v>3.18</v>
      </c>
      <c r="H385" s="135">
        <f>PRODUCT(F385,G385)</f>
        <v>0.02385</v>
      </c>
      <c r="I385" s="152"/>
      <c r="J385" s="152"/>
      <c r="K385" s="152"/>
      <c r="L385" s="152"/>
      <c r="M385" s="152"/>
      <c r="N385" s="152"/>
      <c r="Q385" s="27"/>
      <c r="R385" s="27"/>
      <c r="S385" s="27"/>
      <c r="T385" s="27"/>
      <c r="U385" s="27"/>
      <c r="V385" s="27"/>
      <c r="W385" s="27"/>
    </row>
    <row r="386" spans="1:23" ht="14.25">
      <c r="A386" s="241"/>
      <c r="B386" s="132" t="s">
        <v>92</v>
      </c>
      <c r="C386" s="131" t="s">
        <v>93</v>
      </c>
      <c r="D386" s="101" t="s">
        <v>360</v>
      </c>
      <c r="E386" s="133">
        <v>0.00044</v>
      </c>
      <c r="F386" s="59">
        <f>PRODUCT(F374,E386)</f>
        <v>2.2000000000000003E-05</v>
      </c>
      <c r="G386" s="59">
        <v>128</v>
      </c>
      <c r="H386" s="135">
        <f>PRODUCT(F386,G386)</f>
        <v>0.0028160000000000004</v>
      </c>
      <c r="I386" s="152"/>
      <c r="J386" s="152"/>
      <c r="K386" s="152"/>
      <c r="L386" s="152"/>
      <c r="M386" s="152"/>
      <c r="N386" s="152"/>
      <c r="Q386" s="27"/>
      <c r="R386" s="27"/>
      <c r="S386" s="27"/>
      <c r="T386" s="27"/>
      <c r="U386" s="27"/>
      <c r="V386" s="27"/>
      <c r="W386" s="27"/>
    </row>
    <row r="387" spans="1:23" ht="25.5">
      <c r="A387" s="89">
        <v>9</v>
      </c>
      <c r="B387" s="53" t="s">
        <v>246</v>
      </c>
      <c r="C387" s="54" t="s">
        <v>247</v>
      </c>
      <c r="D387" s="90" t="s">
        <v>81</v>
      </c>
      <c r="E387" s="55"/>
      <c r="F387" s="56">
        <v>0.05</v>
      </c>
      <c r="G387" s="57"/>
      <c r="H387" s="242"/>
      <c r="L387" s="86"/>
      <c r="Q387" s="27"/>
      <c r="R387" s="27"/>
      <c r="S387" s="27"/>
      <c r="T387" s="27"/>
      <c r="U387" s="27"/>
      <c r="V387" s="27"/>
      <c r="W387" s="27"/>
    </row>
    <row r="388" spans="1:23" ht="12.75">
      <c r="A388" s="29"/>
      <c r="B388" s="30" t="s">
        <v>38</v>
      </c>
      <c r="C388" s="31" t="s">
        <v>18</v>
      </c>
      <c r="D388" s="32"/>
      <c r="E388" s="93">
        <f>94.5%*0.94</f>
        <v>0.8882999999999999</v>
      </c>
      <c r="F388" s="34"/>
      <c r="G388" s="34"/>
      <c r="H388" s="36"/>
      <c r="I388" s="37"/>
      <c r="J388" s="1"/>
      <c r="K388" s="1"/>
      <c r="L388" s="37"/>
      <c r="M388" s="1"/>
      <c r="N388" s="1"/>
      <c r="Q388" s="27"/>
      <c r="R388" s="27"/>
      <c r="S388" s="27"/>
      <c r="T388" s="27"/>
      <c r="U388" s="27"/>
      <c r="V388" s="27"/>
      <c r="W388" s="27"/>
    </row>
    <row r="389" spans="1:15" ht="12.75">
      <c r="A389" s="29"/>
      <c r="B389" s="94" t="s">
        <v>39</v>
      </c>
      <c r="C389" s="31" t="s">
        <v>19</v>
      </c>
      <c r="D389" s="38"/>
      <c r="E389" s="93">
        <v>0.4675</v>
      </c>
      <c r="F389" s="34"/>
      <c r="G389" s="34"/>
      <c r="H389" s="40"/>
      <c r="I389" s="41"/>
      <c r="J389" s="41"/>
      <c r="K389" s="4"/>
      <c r="L389" s="4"/>
      <c r="M389" s="4"/>
      <c r="N389" s="42"/>
      <c r="O389" s="43">
        <f>SUM(H390:H392)*E389</f>
        <v>125.76063828075002</v>
      </c>
    </row>
    <row r="390" spans="1:14" ht="12.75">
      <c r="A390" s="29"/>
      <c r="B390" s="94">
        <v>1</v>
      </c>
      <c r="C390" s="95" t="s">
        <v>20</v>
      </c>
      <c r="D390" s="94" t="s">
        <v>21</v>
      </c>
      <c r="E390" s="243">
        <f>1.2*1.15*51.01</f>
        <v>70.3938</v>
      </c>
      <c r="F390" s="34">
        <f>PRODUCT(F387,E390)</f>
        <v>3.51969</v>
      </c>
      <c r="G390" s="46">
        <v>76.41</v>
      </c>
      <c r="H390" s="36">
        <f>PRODUCT(F390,G390)</f>
        <v>268.9395129</v>
      </c>
      <c r="I390" s="41"/>
      <c r="J390" s="41"/>
      <c r="K390" s="4"/>
      <c r="L390" s="43">
        <f>SUM(H390)</f>
        <v>268.9395129</v>
      </c>
      <c r="M390" s="4"/>
      <c r="N390" s="4"/>
    </row>
    <row r="391" spans="1:14" ht="12.75">
      <c r="A391" s="29"/>
      <c r="B391" s="69"/>
      <c r="C391" s="95" t="s">
        <v>22</v>
      </c>
      <c r="D391" s="94"/>
      <c r="E391" s="243">
        <v>3.5</v>
      </c>
      <c r="F391" s="34"/>
      <c r="G391" s="46"/>
      <c r="H391" s="36"/>
      <c r="K391" s="43">
        <f>SUM(H390:H392)*E388</f>
        <v>238.95866306906998</v>
      </c>
      <c r="L391" s="4"/>
      <c r="M391" s="4"/>
      <c r="N391" s="4"/>
    </row>
    <row r="392" spans="1:14" ht="12.75">
      <c r="A392" s="29"/>
      <c r="B392" s="94">
        <v>2</v>
      </c>
      <c r="C392" s="95" t="s">
        <v>23</v>
      </c>
      <c r="D392" s="94" t="s">
        <v>21</v>
      </c>
      <c r="E392" s="243">
        <f>1.2*1.25*0.12-E394</f>
        <v>0.014999999999999986</v>
      </c>
      <c r="F392" s="34">
        <f>PRODUCT(F387,E392)</f>
        <v>0.0007499999999999994</v>
      </c>
      <c r="G392" s="66">
        <v>89.6</v>
      </c>
      <c r="H392" s="36">
        <f>PRODUCT(F392,G392)</f>
        <v>0.06719999999999994</v>
      </c>
      <c r="K392" s="4"/>
      <c r="L392" s="4"/>
      <c r="M392" s="43">
        <f>SUM(H392)</f>
        <v>0.06719999999999994</v>
      </c>
      <c r="N392" s="4"/>
    </row>
    <row r="393" spans="1:9" ht="12.75">
      <c r="A393" s="29"/>
      <c r="B393" s="94">
        <v>3</v>
      </c>
      <c r="C393" s="95" t="s">
        <v>24</v>
      </c>
      <c r="D393" s="94"/>
      <c r="E393" s="243"/>
      <c r="F393" s="34"/>
      <c r="G393" s="34"/>
      <c r="H393" s="36"/>
      <c r="I393" s="97">
        <f>SUM(H394:H395)</f>
        <v>3.8476125000000003</v>
      </c>
    </row>
    <row r="394" spans="1:8" ht="12.75" customHeight="1">
      <c r="A394" s="29"/>
      <c r="B394" s="94">
        <v>400001</v>
      </c>
      <c r="C394" s="95" t="s">
        <v>157</v>
      </c>
      <c r="D394" s="94" t="s">
        <v>26</v>
      </c>
      <c r="E394" s="244">
        <f>1.2*1.25*0.11</f>
        <v>0.165</v>
      </c>
      <c r="F394" s="34">
        <f>PRODUCT(F387,E394)</f>
        <v>0.00825</v>
      </c>
      <c r="G394" s="57">
        <v>444.37</v>
      </c>
      <c r="H394" s="36">
        <f>PRODUCT(F394,G394)</f>
        <v>3.6660525</v>
      </c>
    </row>
    <row r="395" spans="1:8" ht="25.5">
      <c r="A395" s="29"/>
      <c r="B395" s="94">
        <v>31121</v>
      </c>
      <c r="C395" s="95" t="s">
        <v>139</v>
      </c>
      <c r="D395" s="94" t="s">
        <v>26</v>
      </c>
      <c r="E395" s="244">
        <f>1.2*1.25*0.01</f>
        <v>0.015</v>
      </c>
      <c r="F395" s="34">
        <f>PRODUCT(F387,E395)</f>
        <v>0.00075</v>
      </c>
      <c r="G395" s="57">
        <v>242.08</v>
      </c>
      <c r="H395" s="36">
        <f>PRODUCT(F395,G395)</f>
        <v>0.18156000000000003</v>
      </c>
    </row>
    <row r="396" spans="1:10" ht="12.75">
      <c r="A396" s="64"/>
      <c r="B396" s="32">
        <v>4</v>
      </c>
      <c r="C396" s="35" t="s">
        <v>27</v>
      </c>
      <c r="D396" s="32"/>
      <c r="E396" s="245"/>
      <c r="F396" s="34"/>
      <c r="G396" s="34"/>
      <c r="H396" s="36"/>
      <c r="J396" s="97">
        <f>SUM(H397:H403)</f>
        <v>146.17458756000002</v>
      </c>
    </row>
    <row r="397" spans="1:8" ht="12.75">
      <c r="A397" s="64"/>
      <c r="B397" s="32" t="s">
        <v>248</v>
      </c>
      <c r="C397" s="31" t="s">
        <v>249</v>
      </c>
      <c r="D397" s="32" t="s">
        <v>35</v>
      </c>
      <c r="E397" s="246">
        <v>0.01837</v>
      </c>
      <c r="F397" s="34">
        <f>PRODUCT(F387,E397)</f>
        <v>0.0009185</v>
      </c>
      <c r="G397" s="34">
        <v>98600</v>
      </c>
      <c r="H397" s="36">
        <f aca="true" t="shared" si="5" ref="H397:H403">PRODUCT(F397,G397)</f>
        <v>90.56410000000001</v>
      </c>
    </row>
    <row r="398" spans="1:15" ht="12.75">
      <c r="A398" s="64"/>
      <c r="B398" s="32" t="s">
        <v>90</v>
      </c>
      <c r="C398" s="31" t="s">
        <v>91</v>
      </c>
      <c r="D398" s="32" t="s">
        <v>35</v>
      </c>
      <c r="E398" s="245">
        <v>0.051</v>
      </c>
      <c r="F398" s="34">
        <f>PRODUCT(F387,E398)</f>
        <v>0.00255</v>
      </c>
      <c r="G398" s="34">
        <v>12400</v>
      </c>
      <c r="H398" s="36">
        <f t="shared" si="5"/>
        <v>31.62</v>
      </c>
      <c r="I398" s="41"/>
      <c r="J398" s="41"/>
      <c r="K398" s="4"/>
      <c r="L398" s="4"/>
      <c r="M398" s="4"/>
      <c r="N398" s="42"/>
      <c r="O398" s="43"/>
    </row>
    <row r="399" spans="1:14" ht="38.25">
      <c r="A399" s="64"/>
      <c r="B399" s="32" t="s">
        <v>250</v>
      </c>
      <c r="C399" s="31" t="s">
        <v>251</v>
      </c>
      <c r="D399" s="32" t="s">
        <v>35</v>
      </c>
      <c r="E399" s="245">
        <v>0.0113</v>
      </c>
      <c r="F399" s="34">
        <f>PRODUCT(F387,E399)</f>
        <v>0.000565</v>
      </c>
      <c r="G399" s="34">
        <v>42300</v>
      </c>
      <c r="H399" s="36">
        <f t="shared" si="5"/>
        <v>23.8995</v>
      </c>
      <c r="I399" s="1"/>
      <c r="J399" s="1"/>
      <c r="K399" s="1"/>
      <c r="L399" s="37"/>
      <c r="M399" s="1"/>
      <c r="N399" s="1"/>
    </row>
    <row r="400" spans="1:9" ht="38.25">
      <c r="A400" s="64"/>
      <c r="B400" s="48" t="s">
        <v>252</v>
      </c>
      <c r="C400" s="35" t="s">
        <v>253</v>
      </c>
      <c r="D400" s="32" t="s">
        <v>30</v>
      </c>
      <c r="E400" s="245">
        <v>0.0024</v>
      </c>
      <c r="F400" s="34">
        <f>PRODUCT(F387,E400)</f>
        <v>0.00011999999999999999</v>
      </c>
      <c r="G400" s="34">
        <v>289</v>
      </c>
      <c r="H400" s="36">
        <f t="shared" si="5"/>
        <v>0.034679999999999996</v>
      </c>
      <c r="I400" s="97"/>
    </row>
    <row r="401" spans="1:14" ht="25.5">
      <c r="A401" s="64"/>
      <c r="B401" s="32" t="s">
        <v>92</v>
      </c>
      <c r="C401" s="35" t="s">
        <v>254</v>
      </c>
      <c r="D401" s="32" t="s">
        <v>94</v>
      </c>
      <c r="E401" s="245">
        <v>0.00084</v>
      </c>
      <c r="F401" s="34">
        <f>PRODUCT(F387,E401)</f>
        <v>4.2000000000000004E-05</v>
      </c>
      <c r="G401" s="34">
        <v>130.18</v>
      </c>
      <c r="H401" s="36">
        <f t="shared" si="5"/>
        <v>0.005467560000000001</v>
      </c>
      <c r="K401" s="86"/>
      <c r="N401" s="83"/>
    </row>
    <row r="402" spans="1:15" ht="12.75">
      <c r="A402" s="64"/>
      <c r="B402" s="32" t="s">
        <v>84</v>
      </c>
      <c r="C402" s="35" t="s">
        <v>85</v>
      </c>
      <c r="D402" s="32" t="s">
        <v>72</v>
      </c>
      <c r="E402" s="245">
        <v>0.31</v>
      </c>
      <c r="F402" s="34">
        <f>PRODUCT(F387,E402)</f>
        <v>0.0155</v>
      </c>
      <c r="G402" s="34">
        <v>3.28</v>
      </c>
      <c r="H402" s="36">
        <f t="shared" si="5"/>
        <v>0.050839999999999996</v>
      </c>
      <c r="K402" s="86"/>
      <c r="N402" s="83"/>
      <c r="O402" s="37"/>
    </row>
    <row r="403" spans="1:14" ht="25.5">
      <c r="A403" s="64"/>
      <c r="B403" s="32" t="s">
        <v>255</v>
      </c>
      <c r="C403" s="35" t="s">
        <v>256</v>
      </c>
      <c r="D403" s="32" t="s">
        <v>35</v>
      </c>
      <c r="E403" s="245">
        <v>0.0075</v>
      </c>
      <c r="F403" s="34">
        <f>PRODUCT(F387,E403)</f>
        <v>0.000375</v>
      </c>
      <c r="G403" s="34">
        <v>0</v>
      </c>
      <c r="H403" s="36">
        <f t="shared" si="5"/>
        <v>0</v>
      </c>
      <c r="I403" s="13"/>
      <c r="J403" s="13"/>
      <c r="K403" s="13"/>
      <c r="L403" s="13"/>
      <c r="M403" s="13"/>
      <c r="N403" s="13"/>
    </row>
    <row r="404" spans="1:15" ht="51">
      <c r="A404" s="89">
        <v>10</v>
      </c>
      <c r="B404" s="53" t="s">
        <v>152</v>
      </c>
      <c r="C404" s="54" t="s">
        <v>153</v>
      </c>
      <c r="D404" s="90" t="s">
        <v>81</v>
      </c>
      <c r="E404" s="55"/>
      <c r="F404" s="56">
        <v>0.05</v>
      </c>
      <c r="G404" s="57"/>
      <c r="H404" s="76"/>
      <c r="I404" s="154"/>
      <c r="J404" s="154"/>
      <c r="K404" s="154"/>
      <c r="L404" s="154"/>
      <c r="M404" s="154"/>
      <c r="N404" s="154"/>
      <c r="O404" s="154"/>
    </row>
    <row r="405" spans="1:16" ht="12.75">
      <c r="A405" s="29"/>
      <c r="B405" s="30" t="s">
        <v>38</v>
      </c>
      <c r="C405" s="31" t="s">
        <v>18</v>
      </c>
      <c r="D405" s="32"/>
      <c r="E405" s="93">
        <f>94.5%*0.94</f>
        <v>0.8882999999999999</v>
      </c>
      <c r="F405" s="34"/>
      <c r="G405" s="34"/>
      <c r="H405" s="36"/>
      <c r="I405" s="37"/>
      <c r="J405" s="1"/>
      <c r="K405" s="1"/>
      <c r="L405" s="37"/>
      <c r="M405" s="1"/>
      <c r="N405" s="1"/>
      <c r="P405" s="7"/>
    </row>
    <row r="406" spans="1:16" ht="12.75">
      <c r="A406" s="29"/>
      <c r="B406" s="94" t="s">
        <v>39</v>
      </c>
      <c r="C406" s="31" t="s">
        <v>19</v>
      </c>
      <c r="D406" s="38"/>
      <c r="E406" s="93">
        <v>0.4675</v>
      </c>
      <c r="F406" s="34"/>
      <c r="G406" s="34"/>
      <c r="H406" s="40"/>
      <c r="I406" s="41"/>
      <c r="J406" s="41"/>
      <c r="K406" s="4"/>
      <c r="L406" s="4"/>
      <c r="M406" s="4"/>
      <c r="N406" s="42"/>
      <c r="O406" s="43">
        <f>SUM(H407:H409)*E406</f>
        <v>42.710101368</v>
      </c>
      <c r="P406" s="7"/>
    </row>
    <row r="407" spans="1:16" ht="12.75">
      <c r="A407" s="29"/>
      <c r="B407" s="94">
        <v>1</v>
      </c>
      <c r="C407" s="95" t="s">
        <v>20</v>
      </c>
      <c r="D407" s="94" t="s">
        <v>21</v>
      </c>
      <c r="E407" s="55">
        <f>1.2*1.15*16.32</f>
        <v>22.5216</v>
      </c>
      <c r="F407" s="34">
        <f>PRODUCT(F404,E407)</f>
        <v>1.12608</v>
      </c>
      <c r="G407" s="46">
        <v>81.07</v>
      </c>
      <c r="H407" s="36">
        <f>PRODUCT(F407,G407)</f>
        <v>91.29130559999999</v>
      </c>
      <c r="I407" s="41"/>
      <c r="J407" s="41"/>
      <c r="K407" s="4"/>
      <c r="L407" s="43">
        <f>SUM(H407)</f>
        <v>91.29130559999999</v>
      </c>
      <c r="M407" s="4"/>
      <c r="N407" s="4"/>
      <c r="P407" s="1"/>
    </row>
    <row r="408" spans="1:23" s="1" customFormat="1" ht="12.75">
      <c r="A408" s="64"/>
      <c r="B408" s="69"/>
      <c r="C408" s="95" t="s">
        <v>22</v>
      </c>
      <c r="D408" s="94"/>
      <c r="E408" s="55">
        <v>4</v>
      </c>
      <c r="F408" s="34"/>
      <c r="G408" s="46"/>
      <c r="H408" s="36"/>
      <c r="I408" s="7"/>
      <c r="J408" s="7"/>
      <c r="K408" s="43">
        <f>SUM(H407:H409)*E405</f>
        <v>81.15376052447998</v>
      </c>
      <c r="L408" s="4"/>
      <c r="M408" s="4"/>
      <c r="N408" s="4"/>
      <c r="O408" s="7"/>
      <c r="P408"/>
      <c r="Q408"/>
      <c r="R408"/>
      <c r="S408"/>
      <c r="T408"/>
      <c r="U408"/>
      <c r="V408"/>
      <c r="W408"/>
    </row>
    <row r="409" spans="1:23" s="247" customFormat="1" ht="12.75">
      <c r="A409" s="64"/>
      <c r="B409" s="94">
        <v>2</v>
      </c>
      <c r="C409" s="95" t="s">
        <v>23</v>
      </c>
      <c r="D409" s="94" t="s">
        <v>21</v>
      </c>
      <c r="E409" s="55">
        <f>1.2*1.25*0.03-E412</f>
        <v>0.015</v>
      </c>
      <c r="F409" s="34">
        <f>PRODUCT(F404,E409)</f>
        <v>0.00075</v>
      </c>
      <c r="G409" s="66">
        <v>89.6</v>
      </c>
      <c r="H409" s="36">
        <f>PRODUCT(F409,G409)</f>
        <v>0.0672</v>
      </c>
      <c r="I409" s="7"/>
      <c r="J409" s="7"/>
      <c r="K409" s="4"/>
      <c r="L409" s="4"/>
      <c r="M409" s="43">
        <f>SUM(H409)</f>
        <v>0.0672</v>
      </c>
      <c r="N409" s="4"/>
      <c r="O409" s="7"/>
      <c r="P409" s="7"/>
      <c r="Q409"/>
      <c r="R409"/>
      <c r="S409"/>
      <c r="T409"/>
      <c r="U409"/>
      <c r="V409"/>
      <c r="W409"/>
    </row>
    <row r="410" spans="1:23" s="247" customFormat="1" ht="12.75">
      <c r="A410" s="64"/>
      <c r="B410" s="94">
        <v>3</v>
      </c>
      <c r="C410" s="95" t="s">
        <v>24</v>
      </c>
      <c r="D410" s="94"/>
      <c r="E410" s="55"/>
      <c r="F410" s="34"/>
      <c r="G410" s="34"/>
      <c r="H410" s="36"/>
      <c r="I410" s="97">
        <f>SUM(H411:H412)</f>
        <v>0.8481150000000001</v>
      </c>
      <c r="J410" s="7"/>
      <c r="K410" s="7"/>
      <c r="L410" s="7"/>
      <c r="M410" s="7"/>
      <c r="N410" s="7"/>
      <c r="O410" s="7"/>
      <c r="P410" s="7"/>
      <c r="Q410"/>
      <c r="R410"/>
      <c r="S410"/>
      <c r="T410"/>
      <c r="U410"/>
      <c r="V410"/>
      <c r="W410"/>
    </row>
    <row r="411" spans="1:23" s="1" customFormat="1" ht="12.75">
      <c r="A411" s="64"/>
      <c r="B411" s="94">
        <v>31121</v>
      </c>
      <c r="C411" s="95" t="s">
        <v>82</v>
      </c>
      <c r="D411" s="94" t="s">
        <v>26</v>
      </c>
      <c r="E411" s="55">
        <f>1.2*1.25*0.01</f>
        <v>0.015</v>
      </c>
      <c r="F411" s="34">
        <f>PRODUCT(F404,E411)</f>
        <v>0.00075</v>
      </c>
      <c r="G411" s="57">
        <v>242.08</v>
      </c>
      <c r="H411" s="36">
        <f>PRODUCT(F411,G411)</f>
        <v>0.18156000000000003</v>
      </c>
      <c r="I411" s="7"/>
      <c r="J411" s="7"/>
      <c r="K411" s="7"/>
      <c r="L411" s="7"/>
      <c r="M411" s="7"/>
      <c r="N411" s="7"/>
      <c r="O411" s="7"/>
      <c r="P411" s="7"/>
      <c r="Q411"/>
      <c r="R411"/>
      <c r="S411"/>
      <c r="T411"/>
      <c r="U411"/>
      <c r="V411"/>
      <c r="W411"/>
    </row>
    <row r="412" spans="1:23" s="1" customFormat="1" ht="12.75">
      <c r="A412" s="64"/>
      <c r="B412" s="94">
        <v>400001</v>
      </c>
      <c r="C412" s="95" t="s">
        <v>83</v>
      </c>
      <c r="D412" s="98" t="s">
        <v>26</v>
      </c>
      <c r="E412" s="99">
        <f>1.2*1.25*0.02</f>
        <v>0.03</v>
      </c>
      <c r="F412" s="34">
        <f>PRODUCT(F404,E412)</f>
        <v>0.0015</v>
      </c>
      <c r="G412" s="57">
        <v>444.37</v>
      </c>
      <c r="H412" s="36">
        <f>PRODUCT(F412,G412)</f>
        <v>0.666555</v>
      </c>
      <c r="I412" s="7"/>
      <c r="J412" s="7"/>
      <c r="K412" s="7"/>
      <c r="L412" s="7"/>
      <c r="M412" s="7"/>
      <c r="N412" s="7"/>
      <c r="O412" s="7"/>
      <c r="P412" s="7"/>
      <c r="Q412"/>
      <c r="R412"/>
      <c r="S412"/>
      <c r="T412"/>
      <c r="U412"/>
      <c r="V412"/>
      <c r="W412"/>
    </row>
    <row r="413" spans="1:23" s="1" customFormat="1" ht="12.75">
      <c r="A413" s="64"/>
      <c r="B413" s="94">
        <v>4</v>
      </c>
      <c r="C413" s="95" t="s">
        <v>27</v>
      </c>
      <c r="D413" s="32"/>
      <c r="E413" s="100"/>
      <c r="F413" s="34"/>
      <c r="G413" s="34"/>
      <c r="H413" s="36"/>
      <c r="I413" s="7"/>
      <c r="J413" s="97">
        <f>SUM(H414:H415)</f>
        <v>42.5328</v>
      </c>
      <c r="K413" s="7"/>
      <c r="L413" s="7"/>
      <c r="M413" s="7"/>
      <c r="N413" s="7"/>
      <c r="O413" s="7"/>
      <c r="P413" s="7"/>
      <c r="Q413"/>
      <c r="R413"/>
      <c r="S413"/>
      <c r="T413"/>
      <c r="U413"/>
      <c r="V413"/>
      <c r="W413"/>
    </row>
    <row r="414" spans="1:23" s="1" customFormat="1" ht="12.75">
      <c r="A414" s="64"/>
      <c r="B414" s="101" t="s">
        <v>84</v>
      </c>
      <c r="C414" s="102" t="s">
        <v>85</v>
      </c>
      <c r="D414" s="101" t="s">
        <v>72</v>
      </c>
      <c r="E414" s="103">
        <v>0.2</v>
      </c>
      <c r="F414" s="34">
        <f>PRODUCT(F404,E414)</f>
        <v>0.010000000000000002</v>
      </c>
      <c r="G414" s="34">
        <v>3.28</v>
      </c>
      <c r="H414" s="36">
        <f>PRODUCT(F414,G414)</f>
        <v>0.0328</v>
      </c>
      <c r="I414" s="7"/>
      <c r="J414" s="7"/>
      <c r="K414" s="7"/>
      <c r="L414" s="7"/>
      <c r="M414" s="7"/>
      <c r="N414" s="7"/>
      <c r="O414" s="7"/>
      <c r="P414" s="7"/>
      <c r="Q414"/>
      <c r="R414"/>
      <c r="S414"/>
      <c r="T414"/>
      <c r="U414"/>
      <c r="V414"/>
      <c r="W414"/>
    </row>
    <row r="415" spans="1:23" s="1" customFormat="1" ht="12.75">
      <c r="A415" s="64"/>
      <c r="B415" s="94" t="s">
        <v>86</v>
      </c>
      <c r="C415" s="95" t="s">
        <v>87</v>
      </c>
      <c r="D415" s="94" t="s">
        <v>35</v>
      </c>
      <c r="E415" s="55">
        <v>0.02</v>
      </c>
      <c r="F415" s="34">
        <f>PRODUCT(F404,E415)</f>
        <v>0.001</v>
      </c>
      <c r="G415" s="34">
        <v>42500</v>
      </c>
      <c r="H415" s="36">
        <f>PRODUCT(F415,G415)</f>
        <v>42.5</v>
      </c>
      <c r="I415" s="41"/>
      <c r="J415" s="41"/>
      <c r="K415" s="4"/>
      <c r="L415" s="4"/>
      <c r="M415" s="4"/>
      <c r="N415" s="42"/>
      <c r="O415" s="43"/>
      <c r="P415" s="7"/>
      <c r="Q415"/>
      <c r="R415"/>
      <c r="S415"/>
      <c r="T415"/>
      <c r="U415"/>
      <c r="V415"/>
      <c r="W415"/>
    </row>
    <row r="416" spans="1:29" ht="12.75">
      <c r="A416" s="321"/>
      <c r="B416" s="307"/>
      <c r="C416" s="308" t="s">
        <v>257</v>
      </c>
      <c r="D416" s="307"/>
      <c r="E416" s="309"/>
      <c r="F416" s="322"/>
      <c r="G416" s="322"/>
      <c r="H416" s="318"/>
      <c r="I416" s="121"/>
      <c r="J416" s="121"/>
      <c r="K416" s="47"/>
      <c r="L416" s="50"/>
      <c r="M416" s="47"/>
      <c r="N416" s="47"/>
      <c r="O416" s="120"/>
      <c r="P416" s="164"/>
      <c r="Q416" s="62"/>
      <c r="R416" s="13"/>
      <c r="S416" s="13"/>
      <c r="T416" s="13"/>
      <c r="U416" s="13"/>
      <c r="V416" s="13"/>
      <c r="W416" s="13"/>
      <c r="X416"/>
      <c r="Y416"/>
      <c r="Z416"/>
      <c r="AA416"/>
      <c r="AB416"/>
      <c r="AC416"/>
    </row>
    <row r="417" spans="1:29" ht="38.25">
      <c r="A417" s="44">
        <v>1</v>
      </c>
      <c r="B417" s="38" t="s">
        <v>258</v>
      </c>
      <c r="C417" s="110" t="s">
        <v>259</v>
      </c>
      <c r="D417" s="185" t="s">
        <v>260</v>
      </c>
      <c r="E417" s="35"/>
      <c r="F417" s="56">
        <v>0.06</v>
      </c>
      <c r="G417" s="46"/>
      <c r="H417" s="36"/>
      <c r="I417" s="121"/>
      <c r="J417" s="121"/>
      <c r="K417" s="47"/>
      <c r="L417" s="50"/>
      <c r="M417" s="47"/>
      <c r="N417" s="47"/>
      <c r="O417" s="120"/>
      <c r="P417" s="120"/>
      <c r="Q417" s="62"/>
      <c r="R417" s="13"/>
      <c r="S417" s="13"/>
      <c r="T417" s="13"/>
      <c r="U417" s="13"/>
      <c r="V417" s="13"/>
      <c r="W417" s="13"/>
      <c r="X417"/>
      <c r="Y417"/>
      <c r="Z417"/>
      <c r="AA417"/>
      <c r="AB417"/>
      <c r="AC417"/>
    </row>
    <row r="418" spans="1:29" ht="12.75">
      <c r="A418" s="117"/>
      <c r="B418" s="48"/>
      <c r="C418" s="95" t="s">
        <v>18</v>
      </c>
      <c r="D418" s="248"/>
      <c r="E418" s="228">
        <f>0.94*85%</f>
        <v>0.7989999999999999</v>
      </c>
      <c r="F418" s="57"/>
      <c r="G418" s="57"/>
      <c r="H418" s="61"/>
      <c r="I418" s="62"/>
      <c r="J418" s="62"/>
      <c r="K418" s="249"/>
      <c r="L418" s="62"/>
      <c r="M418" s="62"/>
      <c r="N418" s="83"/>
      <c r="O418" s="62"/>
      <c r="P418" s="120"/>
      <c r="Q418" s="62"/>
      <c r="R418" s="13"/>
      <c r="S418" s="13"/>
      <c r="T418" s="13"/>
      <c r="U418" s="13"/>
      <c r="V418" s="13"/>
      <c r="W418" s="13"/>
      <c r="X418"/>
      <c r="Y418"/>
      <c r="Z418"/>
      <c r="AA418"/>
      <c r="AB418"/>
      <c r="AC418"/>
    </row>
    <row r="419" spans="1:29" ht="12.75">
      <c r="A419" s="117"/>
      <c r="B419" s="32"/>
      <c r="C419" s="108" t="s">
        <v>19</v>
      </c>
      <c r="D419" s="53"/>
      <c r="E419" s="93">
        <v>0.65</v>
      </c>
      <c r="F419" s="57"/>
      <c r="G419" s="57"/>
      <c r="H419" s="40"/>
      <c r="I419" s="62"/>
      <c r="J419" s="62"/>
      <c r="K419" s="249"/>
      <c r="L419" s="62"/>
      <c r="M419" s="62"/>
      <c r="N419" s="83"/>
      <c r="O419" s="37">
        <f>SUM(H420:H422)*E419</f>
        <v>47.34009150000001</v>
      </c>
      <c r="P419" s="120"/>
      <c r="Q419" s="62"/>
      <c r="R419" s="13"/>
      <c r="S419" s="13"/>
      <c r="T419" s="13"/>
      <c r="U419" s="13"/>
      <c r="V419" s="13"/>
      <c r="W419" s="13"/>
      <c r="X419"/>
      <c r="Y419"/>
      <c r="Z419"/>
      <c r="AA419"/>
      <c r="AB419"/>
      <c r="AC419"/>
    </row>
    <row r="420" spans="1:29" ht="12.75">
      <c r="A420" s="117"/>
      <c r="B420" s="94">
        <v>1</v>
      </c>
      <c r="C420" s="104" t="s">
        <v>20</v>
      </c>
      <c r="D420" s="94" t="s">
        <v>21</v>
      </c>
      <c r="E420" s="109">
        <v>17.89</v>
      </c>
      <c r="F420" s="57">
        <f>PRODUCT(F417,E420)</f>
        <v>1.0734</v>
      </c>
      <c r="G420" s="46">
        <v>67.45</v>
      </c>
      <c r="H420" s="76">
        <f>PRODUCT(F420,G420)</f>
        <v>72.40083</v>
      </c>
      <c r="I420" s="250"/>
      <c r="J420" s="250"/>
      <c r="K420" s="250"/>
      <c r="L420" s="240">
        <f>SUM(H420)</f>
        <v>72.40083</v>
      </c>
      <c r="M420" s="250"/>
      <c r="N420" s="47"/>
      <c r="O420" s="120"/>
      <c r="P420" s="120"/>
      <c r="Q420" s="62"/>
      <c r="R420" s="62"/>
      <c r="S420" s="13"/>
      <c r="T420" s="13"/>
      <c r="U420" s="13"/>
      <c r="V420" s="13"/>
      <c r="W420" s="13"/>
      <c r="X420"/>
      <c r="Y420"/>
      <c r="Z420"/>
      <c r="AA420"/>
      <c r="AB420"/>
      <c r="AC420"/>
    </row>
    <row r="421" spans="1:29" ht="12.75">
      <c r="A421" s="117"/>
      <c r="B421" s="69"/>
      <c r="C421" s="104" t="s">
        <v>22</v>
      </c>
      <c r="D421" s="94"/>
      <c r="E421" s="109">
        <v>2.3</v>
      </c>
      <c r="F421" s="57"/>
      <c r="G421" s="46"/>
      <c r="H421" s="36"/>
      <c r="I421" s="250"/>
      <c r="J421" s="250"/>
      <c r="K421" s="161">
        <f>SUM(H420:H422)*E418</f>
        <v>58.19189709</v>
      </c>
      <c r="L421" s="250"/>
      <c r="M421" s="250"/>
      <c r="N421" s="47"/>
      <c r="O421" s="120"/>
      <c r="P421" s="120"/>
      <c r="Q421" s="13"/>
      <c r="R421" s="13"/>
      <c r="S421" s="13"/>
      <c r="T421" s="13"/>
      <c r="U421" s="13"/>
      <c r="V421" s="13"/>
      <c r="W421" s="13"/>
      <c r="X421"/>
      <c r="Y421"/>
      <c r="Z421"/>
      <c r="AA421"/>
      <c r="AB421"/>
      <c r="AC421"/>
    </row>
    <row r="422" spans="1:29" ht="12.75">
      <c r="A422" s="117"/>
      <c r="B422" s="94">
        <v>2</v>
      </c>
      <c r="C422" s="104" t="s">
        <v>23</v>
      </c>
      <c r="D422" s="94" t="s">
        <v>21</v>
      </c>
      <c r="E422" s="109">
        <v>0.08</v>
      </c>
      <c r="F422" s="57">
        <f>PRODUCT(F417,E422)</f>
        <v>0.0048</v>
      </c>
      <c r="G422" s="96">
        <v>89.6</v>
      </c>
      <c r="H422" s="76">
        <f>PRODUCT(F422,G422)</f>
        <v>0.43007999999999996</v>
      </c>
      <c r="I422" s="250"/>
      <c r="J422" s="250"/>
      <c r="K422" s="250"/>
      <c r="L422" s="250"/>
      <c r="M422" s="240">
        <f>SUM(H422)</f>
        <v>0.43007999999999996</v>
      </c>
      <c r="N422" s="47"/>
      <c r="O422" s="120"/>
      <c r="P422" s="120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 s="117"/>
      <c r="B423" s="94">
        <v>3</v>
      </c>
      <c r="C423" s="104" t="s">
        <v>24</v>
      </c>
      <c r="D423" s="94"/>
      <c r="E423" s="109"/>
      <c r="F423" s="57"/>
      <c r="G423" s="34"/>
      <c r="H423" s="36"/>
      <c r="I423" s="226">
        <f>SUM(H424)</f>
        <v>1.161984</v>
      </c>
      <c r="J423" s="120"/>
      <c r="K423" s="120"/>
      <c r="L423" s="120"/>
      <c r="M423" s="120"/>
      <c r="N423" s="120"/>
      <c r="O423" s="120"/>
      <c r="P423" s="120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 s="117"/>
      <c r="B424" s="94">
        <v>31121</v>
      </c>
      <c r="C424" s="104" t="s">
        <v>25</v>
      </c>
      <c r="D424" s="94" t="s">
        <v>26</v>
      </c>
      <c r="E424" s="109">
        <v>0.08</v>
      </c>
      <c r="F424" s="57">
        <f>PRODUCT(F417,E424)</f>
        <v>0.0048</v>
      </c>
      <c r="G424" s="57">
        <v>242.08</v>
      </c>
      <c r="H424" s="76">
        <f>PRODUCT(F424,G424)</f>
        <v>1.161984</v>
      </c>
      <c r="I424" s="120"/>
      <c r="J424" s="120"/>
      <c r="K424" s="120"/>
      <c r="L424" s="120"/>
      <c r="M424" s="120"/>
      <c r="N424" s="120"/>
      <c r="O424" s="120"/>
      <c r="P424" s="120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 s="44">
        <v>2</v>
      </c>
      <c r="B425" s="53" t="s">
        <v>261</v>
      </c>
      <c r="C425" s="107" t="s">
        <v>262</v>
      </c>
      <c r="D425" s="53" t="s">
        <v>170</v>
      </c>
      <c r="E425" s="109"/>
      <c r="F425" s="111">
        <v>0.8</v>
      </c>
      <c r="G425" s="46"/>
      <c r="H425" s="36"/>
      <c r="I425" s="120"/>
      <c r="J425" s="120"/>
      <c r="K425" s="120"/>
      <c r="L425" s="120"/>
      <c r="M425" s="120"/>
      <c r="N425" s="120"/>
      <c r="O425" s="120"/>
      <c r="P425" s="120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 s="117"/>
      <c r="B426" s="94"/>
      <c r="C426" s="95" t="s">
        <v>18</v>
      </c>
      <c r="D426" s="248"/>
      <c r="E426" s="228">
        <f>0.94*85%</f>
        <v>0.7989999999999999</v>
      </c>
      <c r="F426" s="57"/>
      <c r="G426" s="57"/>
      <c r="H426" s="61"/>
      <c r="I426" s="62"/>
      <c r="J426" s="62"/>
      <c r="K426" s="249"/>
      <c r="L426" s="62"/>
      <c r="M426" s="62"/>
      <c r="N426" s="83"/>
      <c r="O426" s="62"/>
      <c r="P426" s="120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3" ht="12.75">
      <c r="A427" s="251"/>
      <c r="B427" s="53"/>
      <c r="C427" s="108" t="s">
        <v>19</v>
      </c>
      <c r="D427" s="53"/>
      <c r="E427" s="93">
        <v>0.65</v>
      </c>
      <c r="F427" s="57"/>
      <c r="G427" s="57"/>
      <c r="H427" s="40"/>
      <c r="I427" s="62"/>
      <c r="J427" s="62"/>
      <c r="K427" s="249"/>
      <c r="L427" s="62"/>
      <c r="M427" s="62"/>
      <c r="N427" s="83"/>
      <c r="O427" s="37">
        <f>SUM(H428:H430)*E427</f>
        <v>329.50611200000003</v>
      </c>
      <c r="P427" s="62"/>
      <c r="Q427"/>
      <c r="R427"/>
      <c r="S427"/>
      <c r="T427"/>
      <c r="U427"/>
      <c r="V427"/>
      <c r="W427"/>
    </row>
    <row r="428" spans="1:23" ht="12.75">
      <c r="A428" s="92"/>
      <c r="B428" s="252">
        <v>1</v>
      </c>
      <c r="C428" s="253" t="s">
        <v>20</v>
      </c>
      <c r="D428" s="254" t="s">
        <v>21</v>
      </c>
      <c r="E428" s="57">
        <v>9.64</v>
      </c>
      <c r="F428" s="57">
        <f>PRODUCT(F425,E428)</f>
        <v>7.712000000000001</v>
      </c>
      <c r="G428" s="34">
        <v>65.64</v>
      </c>
      <c r="H428" s="76">
        <f>PRODUCT(F428,G428)</f>
        <v>506.21568</v>
      </c>
      <c r="I428" s="250"/>
      <c r="J428" s="250"/>
      <c r="K428" s="250"/>
      <c r="L428" s="240">
        <f>SUM(H428)</f>
        <v>506.21568</v>
      </c>
      <c r="M428" s="250"/>
      <c r="N428" s="1"/>
      <c r="O428" s="62"/>
      <c r="P428" s="62"/>
      <c r="Q428"/>
      <c r="R428"/>
      <c r="S428"/>
      <c r="T428"/>
      <c r="U428"/>
      <c r="V428"/>
      <c r="W428"/>
    </row>
    <row r="429" spans="1:23" ht="12.75">
      <c r="A429" s="92"/>
      <c r="B429" s="254">
        <v>39448</v>
      </c>
      <c r="C429" s="253" t="s">
        <v>22</v>
      </c>
      <c r="D429" s="255"/>
      <c r="E429" s="57">
        <v>2</v>
      </c>
      <c r="F429" s="57"/>
      <c r="G429" s="34"/>
      <c r="H429" s="40"/>
      <c r="I429" s="250"/>
      <c r="J429" s="250"/>
      <c r="K429" s="161">
        <f>SUM(H428:H430)*E426</f>
        <v>405.03905152</v>
      </c>
      <c r="L429" s="250"/>
      <c r="M429" s="250"/>
      <c r="N429" s="42"/>
      <c r="O429" s="43"/>
      <c r="P429" s="62"/>
      <c r="Q429"/>
      <c r="R429"/>
      <c r="S429"/>
      <c r="T429"/>
      <c r="U429"/>
      <c r="V429"/>
      <c r="W429"/>
    </row>
    <row r="430" spans="1:23" ht="12.75">
      <c r="A430" s="256"/>
      <c r="B430" s="71">
        <v>2</v>
      </c>
      <c r="C430" s="70" t="s">
        <v>23</v>
      </c>
      <c r="D430" s="71" t="s">
        <v>21</v>
      </c>
      <c r="E430" s="57">
        <v>0.01</v>
      </c>
      <c r="F430" s="57">
        <f>PRODUCT(F425,E430)</f>
        <v>0.008</v>
      </c>
      <c r="G430" s="96">
        <v>89.6</v>
      </c>
      <c r="H430" s="76">
        <f>PRODUCT(F430,G430)</f>
        <v>0.7168</v>
      </c>
      <c r="I430" s="250"/>
      <c r="J430" s="250"/>
      <c r="K430" s="250"/>
      <c r="L430" s="250"/>
      <c r="M430" s="240">
        <f>SUM(H430)</f>
        <v>0.7168</v>
      </c>
      <c r="N430" s="1"/>
      <c r="O430" s="62"/>
      <c r="P430" s="257"/>
      <c r="Q430"/>
      <c r="R430"/>
      <c r="S430"/>
      <c r="T430"/>
      <c r="U430"/>
      <c r="V430"/>
      <c r="W430"/>
    </row>
    <row r="431" spans="1:23" ht="12.75">
      <c r="A431" s="256"/>
      <c r="B431" s="71">
        <v>3</v>
      </c>
      <c r="C431" s="70" t="s">
        <v>24</v>
      </c>
      <c r="D431" s="70"/>
      <c r="E431" s="57"/>
      <c r="F431" s="57"/>
      <c r="G431" s="57"/>
      <c r="H431" s="76"/>
      <c r="I431" s="226">
        <f>SUM(H432)</f>
        <v>1.9366400000000001</v>
      </c>
      <c r="J431" s="120"/>
      <c r="K431" s="120"/>
      <c r="L431" s="120"/>
      <c r="M431" s="120"/>
      <c r="N431" s="1"/>
      <c r="O431" s="62"/>
      <c r="P431" s="257"/>
      <c r="Q431"/>
      <c r="R431"/>
      <c r="S431"/>
      <c r="T431"/>
      <c r="U431"/>
      <c r="V431"/>
      <c r="W431"/>
    </row>
    <row r="432" spans="1:23" ht="12.75">
      <c r="A432" s="256"/>
      <c r="B432" s="71">
        <v>31121</v>
      </c>
      <c r="C432" s="70" t="s">
        <v>25</v>
      </c>
      <c r="D432" s="71" t="s">
        <v>26</v>
      </c>
      <c r="E432" s="57">
        <v>0.01</v>
      </c>
      <c r="F432" s="57">
        <f>PRODUCT(F425,E432)</f>
        <v>0.008</v>
      </c>
      <c r="G432" s="57">
        <v>242.08</v>
      </c>
      <c r="H432" s="76">
        <f>PRODUCT(F432,G432)</f>
        <v>1.9366400000000001</v>
      </c>
      <c r="I432" s="1"/>
      <c r="J432" s="1"/>
      <c r="K432" s="1"/>
      <c r="L432" s="1"/>
      <c r="M432" s="37"/>
      <c r="N432" s="1"/>
      <c r="O432" s="62"/>
      <c r="P432" s="257"/>
      <c r="Q432"/>
      <c r="R432"/>
      <c r="S432"/>
      <c r="T432"/>
      <c r="U432"/>
      <c r="V432"/>
      <c r="W432"/>
    </row>
    <row r="433" spans="1:23" ht="38.25">
      <c r="A433" s="89">
        <v>3</v>
      </c>
      <c r="B433" s="53" t="s">
        <v>263</v>
      </c>
      <c r="C433" s="54" t="s">
        <v>264</v>
      </c>
      <c r="D433" s="53" t="s">
        <v>170</v>
      </c>
      <c r="E433" s="55"/>
      <c r="F433" s="56">
        <v>0.5</v>
      </c>
      <c r="G433" s="56"/>
      <c r="H433" s="218"/>
      <c r="I433" s="258"/>
      <c r="J433" s="126"/>
      <c r="K433" s="62"/>
      <c r="L433" s="62"/>
      <c r="M433" s="62"/>
      <c r="N433" s="62"/>
      <c r="O433" s="257"/>
      <c r="P433" s="257"/>
      <c r="Q433"/>
      <c r="R433"/>
      <c r="S433"/>
      <c r="T433"/>
      <c r="U433"/>
      <c r="V433"/>
      <c r="W433"/>
    </row>
    <row r="434" spans="1:23" ht="12.75">
      <c r="A434" s="256"/>
      <c r="B434" s="94"/>
      <c r="C434" s="95" t="s">
        <v>18</v>
      </c>
      <c r="D434" s="248"/>
      <c r="E434" s="228">
        <f>0.94*85%</f>
        <v>0.7989999999999999</v>
      </c>
      <c r="F434" s="57"/>
      <c r="G434" s="57"/>
      <c r="H434" s="61"/>
      <c r="I434" s="62"/>
      <c r="J434" s="62"/>
      <c r="K434" s="249"/>
      <c r="L434" s="62"/>
      <c r="M434" s="62"/>
      <c r="N434" s="83"/>
      <c r="O434" s="62"/>
      <c r="P434" s="62"/>
      <c r="Q434"/>
      <c r="R434"/>
      <c r="S434"/>
      <c r="T434"/>
      <c r="U434"/>
      <c r="V434"/>
      <c r="W434"/>
    </row>
    <row r="435" spans="1:23" ht="12.75">
      <c r="A435" s="29"/>
      <c r="B435" s="259"/>
      <c r="C435" s="108" t="s">
        <v>19</v>
      </c>
      <c r="D435" s="53"/>
      <c r="E435" s="93">
        <v>0.65</v>
      </c>
      <c r="F435" s="57"/>
      <c r="G435" s="57"/>
      <c r="H435" s="40"/>
      <c r="I435" s="62"/>
      <c r="J435" s="62"/>
      <c r="K435" s="249"/>
      <c r="L435" s="62"/>
      <c r="M435" s="62"/>
      <c r="N435" s="83"/>
      <c r="O435" s="37">
        <f>SUM(H436:H438)*E435</f>
        <v>378.14295999999996</v>
      </c>
      <c r="P435" s="62"/>
      <c r="Q435"/>
      <c r="R435"/>
      <c r="S435"/>
      <c r="T435"/>
      <c r="U435"/>
      <c r="V435"/>
      <c r="W435"/>
    </row>
    <row r="436" spans="1:23" ht="12.75">
      <c r="A436" s="29"/>
      <c r="B436" s="94">
        <v>1</v>
      </c>
      <c r="C436" s="108" t="s">
        <v>20</v>
      </c>
      <c r="D436" s="94" t="s">
        <v>21</v>
      </c>
      <c r="E436" s="57">
        <v>16.84</v>
      </c>
      <c r="F436" s="57">
        <f>PRODUCT(F433,E436)</f>
        <v>8.42</v>
      </c>
      <c r="G436" s="34">
        <v>68.72</v>
      </c>
      <c r="H436" s="76">
        <f>PRODUCT(F436,G436)</f>
        <v>578.6224</v>
      </c>
      <c r="I436" s="250"/>
      <c r="J436" s="250"/>
      <c r="K436" s="250"/>
      <c r="L436" s="240">
        <f>SUM(H436)</f>
        <v>578.6224</v>
      </c>
      <c r="M436" s="250"/>
      <c r="N436" s="13"/>
      <c r="O436" s="13"/>
      <c r="P436" s="62"/>
      <c r="Q436"/>
      <c r="R436"/>
      <c r="S436"/>
      <c r="T436"/>
      <c r="U436"/>
      <c r="V436"/>
      <c r="W436"/>
    </row>
    <row r="437" spans="1:23" ht="12.75">
      <c r="A437" s="29"/>
      <c r="B437" s="69"/>
      <c r="C437" s="108" t="s">
        <v>22</v>
      </c>
      <c r="D437" s="94"/>
      <c r="E437" s="57">
        <v>2.5</v>
      </c>
      <c r="F437" s="57"/>
      <c r="G437" s="34"/>
      <c r="H437" s="76"/>
      <c r="I437" s="250"/>
      <c r="J437" s="250"/>
      <c r="K437" s="161">
        <f>SUM(H436:H438)*E434</f>
        <v>464.82496159999994</v>
      </c>
      <c r="L437" s="250"/>
      <c r="M437" s="250"/>
      <c r="N437" s="62"/>
      <c r="O437" s="62"/>
      <c r="P437" s="62"/>
      <c r="Q437"/>
      <c r="R437"/>
      <c r="S437"/>
      <c r="T437"/>
      <c r="U437"/>
      <c r="V437"/>
      <c r="W437"/>
    </row>
    <row r="438" spans="1:23" ht="12.75">
      <c r="A438" s="89"/>
      <c r="B438" s="94">
        <v>2</v>
      </c>
      <c r="C438" s="95" t="s">
        <v>23</v>
      </c>
      <c r="D438" s="260" t="s">
        <v>21</v>
      </c>
      <c r="E438" s="57">
        <v>0.07</v>
      </c>
      <c r="F438" s="57">
        <f>PRODUCT(F433,E438)</f>
        <v>0.035</v>
      </c>
      <c r="G438" s="96">
        <v>89.6</v>
      </c>
      <c r="H438" s="76">
        <f>PRODUCT(F438,G438)</f>
        <v>3.136</v>
      </c>
      <c r="I438" s="250"/>
      <c r="J438" s="250"/>
      <c r="K438" s="250"/>
      <c r="L438" s="250"/>
      <c r="M438" s="240">
        <f>SUM(H438)</f>
        <v>3.136</v>
      </c>
      <c r="N438" s="1"/>
      <c r="O438" s="62"/>
      <c r="P438" s="13"/>
      <c r="Q438"/>
      <c r="R438"/>
      <c r="S438"/>
      <c r="T438"/>
      <c r="U438"/>
      <c r="V438"/>
      <c r="W438"/>
    </row>
    <row r="439" spans="1:23" ht="12.75">
      <c r="A439" s="92"/>
      <c r="B439" s="30">
        <v>3</v>
      </c>
      <c r="C439" s="31" t="s">
        <v>24</v>
      </c>
      <c r="D439" s="32"/>
      <c r="E439" s="57"/>
      <c r="F439" s="57"/>
      <c r="G439" s="34"/>
      <c r="H439" s="36"/>
      <c r="I439" s="37">
        <f>SUM(H440:H441)</f>
        <v>12.8536</v>
      </c>
      <c r="J439" s="1"/>
      <c r="K439" s="1"/>
      <c r="L439" s="37"/>
      <c r="M439" s="1"/>
      <c r="N439" s="1"/>
      <c r="O439" s="62"/>
      <c r="P439" s="13"/>
      <c r="Q439"/>
      <c r="R439"/>
      <c r="S439"/>
      <c r="T439"/>
      <c r="U439"/>
      <c r="V439"/>
      <c r="W439"/>
    </row>
    <row r="440" spans="1:23" ht="12.75">
      <c r="A440" s="92"/>
      <c r="B440" s="32">
        <v>31121</v>
      </c>
      <c r="C440" s="31" t="s">
        <v>25</v>
      </c>
      <c r="D440" s="32" t="s">
        <v>26</v>
      </c>
      <c r="E440" s="57">
        <v>0.07</v>
      </c>
      <c r="F440" s="57">
        <f>PRODUCT(F433,E440)</f>
        <v>0.035</v>
      </c>
      <c r="G440" s="57">
        <v>242.08</v>
      </c>
      <c r="H440" s="76">
        <f>PRODUCT(F440,G440)</f>
        <v>8.472800000000001</v>
      </c>
      <c r="I440" s="41"/>
      <c r="J440" s="41"/>
      <c r="K440" s="4"/>
      <c r="L440" s="4"/>
      <c r="M440" s="4"/>
      <c r="N440" s="42"/>
      <c r="O440" s="43"/>
      <c r="P440" s="13"/>
      <c r="Q440"/>
      <c r="R440"/>
      <c r="S440"/>
      <c r="T440"/>
      <c r="U440"/>
      <c r="V440"/>
      <c r="W440"/>
    </row>
    <row r="441" spans="1:23" ht="12.75">
      <c r="A441" s="29"/>
      <c r="B441" s="94">
        <v>40504</v>
      </c>
      <c r="C441" s="95" t="s">
        <v>265</v>
      </c>
      <c r="D441" s="94" t="s">
        <v>26</v>
      </c>
      <c r="E441" s="57">
        <v>1.48</v>
      </c>
      <c r="F441" s="57">
        <f>PRODUCT(F433,E441)</f>
        <v>0.74</v>
      </c>
      <c r="G441" s="46">
        <v>5.92</v>
      </c>
      <c r="H441" s="76">
        <f>PRODUCT(F441,G441)</f>
        <v>4.3808</v>
      </c>
      <c r="I441" s="41"/>
      <c r="J441" s="41"/>
      <c r="K441" s="4"/>
      <c r="L441" s="43"/>
      <c r="M441" s="4"/>
      <c r="N441" s="4"/>
      <c r="O441" s="13"/>
      <c r="P441" s="62"/>
      <c r="Q441"/>
      <c r="R441"/>
      <c r="S441"/>
      <c r="T441"/>
      <c r="U441"/>
      <c r="V441"/>
      <c r="W441"/>
    </row>
    <row r="442" spans="1:23" ht="12.75">
      <c r="A442" s="29"/>
      <c r="B442" s="69"/>
      <c r="C442" s="95" t="s">
        <v>27</v>
      </c>
      <c r="D442" s="94"/>
      <c r="E442" s="57"/>
      <c r="F442" s="261"/>
      <c r="G442" s="46"/>
      <c r="H442" s="36"/>
      <c r="I442" s="13"/>
      <c r="J442" s="262">
        <f>SUM(H443:H444)</f>
        <v>6.079</v>
      </c>
      <c r="K442" s="43"/>
      <c r="L442" s="4"/>
      <c r="M442" s="4"/>
      <c r="N442" s="4"/>
      <c r="O442" s="13"/>
      <c r="P442" s="62"/>
      <c r="Q442"/>
      <c r="R442"/>
      <c r="S442"/>
      <c r="T442"/>
      <c r="U442"/>
      <c r="V442"/>
      <c r="W442"/>
    </row>
    <row r="443" spans="1:23" ht="12.75">
      <c r="A443" s="29"/>
      <c r="B443" s="94" t="s">
        <v>266</v>
      </c>
      <c r="C443" s="95" t="s">
        <v>267</v>
      </c>
      <c r="D443" s="94" t="s">
        <v>30</v>
      </c>
      <c r="E443" s="57">
        <v>0.29</v>
      </c>
      <c r="F443" s="57">
        <f>PRODUCT(F433,E443)</f>
        <v>0.145</v>
      </c>
      <c r="G443" s="96">
        <v>29.8</v>
      </c>
      <c r="H443" s="76">
        <f>PRODUCT(F443,G443)</f>
        <v>4.321</v>
      </c>
      <c r="I443" s="13"/>
      <c r="J443" s="13"/>
      <c r="K443" s="4"/>
      <c r="L443" s="4"/>
      <c r="M443" s="43"/>
      <c r="N443" s="4"/>
      <c r="O443" s="13"/>
      <c r="P443" s="62"/>
      <c r="Q443"/>
      <c r="R443"/>
      <c r="S443"/>
      <c r="T443"/>
      <c r="U443"/>
      <c r="V443"/>
      <c r="W443"/>
    </row>
    <row r="444" spans="1:23" ht="12.75">
      <c r="A444" s="29"/>
      <c r="B444" s="94" t="s">
        <v>268</v>
      </c>
      <c r="C444" s="95" t="s">
        <v>269</v>
      </c>
      <c r="D444" s="94" t="s">
        <v>30</v>
      </c>
      <c r="E444" s="57">
        <v>0.04</v>
      </c>
      <c r="F444" s="57">
        <f>PRODUCT(F433,E444)</f>
        <v>0.02</v>
      </c>
      <c r="G444" s="34">
        <v>87.9</v>
      </c>
      <c r="H444" s="76">
        <f>PRODUCT(F444,G444)</f>
        <v>1.7580000000000002</v>
      </c>
      <c r="I444" s="137"/>
      <c r="J444" s="13"/>
      <c r="K444" s="13"/>
      <c r="L444" s="13"/>
      <c r="M444" s="13"/>
      <c r="N444" s="13"/>
      <c r="O444" s="13"/>
      <c r="P444" s="62"/>
      <c r="Q444"/>
      <c r="R444"/>
      <c r="S444"/>
      <c r="T444"/>
      <c r="U444"/>
      <c r="V444"/>
      <c r="W444"/>
    </row>
    <row r="445" spans="1:23" s="13" customFormat="1" ht="12.75">
      <c r="A445" s="89">
        <v>4</v>
      </c>
      <c r="B445" s="53" t="s">
        <v>270</v>
      </c>
      <c r="C445" s="54" t="s">
        <v>271</v>
      </c>
      <c r="D445" s="185" t="s">
        <v>260</v>
      </c>
      <c r="E445" s="55"/>
      <c r="F445" s="91">
        <v>0.03</v>
      </c>
      <c r="G445" s="67"/>
      <c r="H445" s="36"/>
      <c r="P445" s="62"/>
      <c r="Q445"/>
      <c r="R445"/>
      <c r="S445"/>
      <c r="T445"/>
      <c r="U445"/>
      <c r="V445"/>
      <c r="W445"/>
    </row>
    <row r="446" spans="1:29" ht="12.75">
      <c r="A446" s="29"/>
      <c r="B446" s="94"/>
      <c r="C446" s="95" t="s">
        <v>18</v>
      </c>
      <c r="D446" s="248"/>
      <c r="E446" s="228">
        <f>0.94*85%</f>
        <v>0.7989999999999999</v>
      </c>
      <c r="F446" s="57"/>
      <c r="G446" s="57"/>
      <c r="H446" s="61"/>
      <c r="I446" s="62"/>
      <c r="J446" s="62"/>
      <c r="K446" s="249"/>
      <c r="L446" s="62"/>
      <c r="M446" s="62"/>
      <c r="N446" s="83"/>
      <c r="O446" s="62"/>
      <c r="P446" s="62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 s="29"/>
      <c r="B447" s="94"/>
      <c r="C447" s="108" t="s">
        <v>19</v>
      </c>
      <c r="D447" s="53"/>
      <c r="E447" s="93">
        <v>0.65</v>
      </c>
      <c r="F447" s="57"/>
      <c r="G447" s="57"/>
      <c r="H447" s="40"/>
      <c r="I447" s="62"/>
      <c r="J447" s="62"/>
      <c r="K447" s="249"/>
      <c r="L447" s="62"/>
      <c r="M447" s="62"/>
      <c r="N447" s="83"/>
      <c r="O447" s="37">
        <f>SUM(H448:H450)*E447</f>
        <v>35.9088795</v>
      </c>
      <c r="P447" s="62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3" s="13" customFormat="1" ht="12.75">
      <c r="A448" s="29"/>
      <c r="B448" s="65">
        <v>1</v>
      </c>
      <c r="C448" s="66" t="s">
        <v>20</v>
      </c>
      <c r="D448" s="65" t="s">
        <v>21</v>
      </c>
      <c r="E448" s="67">
        <v>24.1</v>
      </c>
      <c r="F448" s="34">
        <f>E448*F445</f>
        <v>0.723</v>
      </c>
      <c r="G448" s="34">
        <v>76.41</v>
      </c>
      <c r="H448" s="76">
        <f>PRODUCT(F448,G448)</f>
        <v>55.244429999999994</v>
      </c>
      <c r="I448" s="250"/>
      <c r="J448" s="250"/>
      <c r="K448" s="250"/>
      <c r="L448" s="240">
        <f>SUM(H448)</f>
        <v>55.244429999999994</v>
      </c>
      <c r="M448" s="250"/>
      <c r="P448" s="62"/>
      <c r="Q448"/>
      <c r="R448"/>
      <c r="S448"/>
      <c r="T448"/>
      <c r="U448"/>
      <c r="V448"/>
      <c r="W448"/>
    </row>
    <row r="449" spans="1:23" s="13" customFormat="1" ht="12.75">
      <c r="A449" s="29"/>
      <c r="B449" s="71">
        <v>39448</v>
      </c>
      <c r="C449" s="70" t="s">
        <v>22</v>
      </c>
      <c r="D449" s="71"/>
      <c r="E449" s="57">
        <v>3.5</v>
      </c>
      <c r="F449" s="34"/>
      <c r="G449" s="34"/>
      <c r="H449" s="36"/>
      <c r="I449" s="250"/>
      <c r="J449" s="250"/>
      <c r="K449" s="161">
        <f>SUM(H448:H450)*E446</f>
        <v>44.14029956999999</v>
      </c>
      <c r="L449" s="250"/>
      <c r="M449" s="250"/>
      <c r="N449" s="42"/>
      <c r="O449" s="43"/>
      <c r="P449" s="62"/>
      <c r="Q449"/>
      <c r="R449"/>
      <c r="S449"/>
      <c r="T449"/>
      <c r="U449"/>
      <c r="V449"/>
      <c r="W449"/>
    </row>
    <row r="450" spans="1:23" s="13" customFormat="1" ht="12.75">
      <c r="A450" s="89"/>
      <c r="B450" s="71">
        <v>4</v>
      </c>
      <c r="C450" s="70" t="s">
        <v>27</v>
      </c>
      <c r="D450" s="263"/>
      <c r="E450" s="57"/>
      <c r="F450" s="91"/>
      <c r="G450" s="57"/>
      <c r="H450" s="76"/>
      <c r="I450" s="1"/>
      <c r="J450" s="124">
        <f>SUM(H451)</f>
        <v>207</v>
      </c>
      <c r="K450" s="1"/>
      <c r="L450" s="1"/>
      <c r="M450" s="37"/>
      <c r="N450" s="1"/>
      <c r="O450" s="62"/>
      <c r="Q450"/>
      <c r="R450"/>
      <c r="S450"/>
      <c r="T450"/>
      <c r="U450"/>
      <c r="V450"/>
      <c r="W450"/>
    </row>
    <row r="451" spans="1:23" s="13" customFormat="1" ht="12.75">
      <c r="A451" s="29"/>
      <c r="B451" s="252" t="s">
        <v>272</v>
      </c>
      <c r="C451" s="253" t="s">
        <v>273</v>
      </c>
      <c r="D451" s="254" t="s">
        <v>50</v>
      </c>
      <c r="E451" s="57">
        <v>100</v>
      </c>
      <c r="F451" s="34">
        <f>E451*F445</f>
        <v>3</v>
      </c>
      <c r="G451" s="34">
        <v>69</v>
      </c>
      <c r="H451" s="76">
        <f>PRODUCT(F451,G451)</f>
        <v>207</v>
      </c>
      <c r="I451" s="37"/>
      <c r="J451" s="1"/>
      <c r="K451" s="1"/>
      <c r="L451" s="37"/>
      <c r="M451" s="1"/>
      <c r="N451" s="1"/>
      <c r="O451" s="62"/>
      <c r="Q451"/>
      <c r="R451"/>
      <c r="S451"/>
      <c r="T451"/>
      <c r="U451"/>
      <c r="V451"/>
      <c r="W451"/>
    </row>
    <row r="452" spans="1:23" s="13" customFormat="1" ht="51">
      <c r="A452" s="264">
        <v>5</v>
      </c>
      <c r="B452" s="53" t="s">
        <v>274</v>
      </c>
      <c r="C452" s="54" t="s">
        <v>275</v>
      </c>
      <c r="D452" s="265" t="s">
        <v>170</v>
      </c>
      <c r="E452" s="109"/>
      <c r="F452" s="159">
        <v>0.5</v>
      </c>
      <c r="G452" s="57"/>
      <c r="H452" s="266"/>
      <c r="I452" s="62"/>
      <c r="J452" s="62"/>
      <c r="K452" s="62"/>
      <c r="L452" s="62"/>
      <c r="M452" s="62"/>
      <c r="N452" s="62"/>
      <c r="O452" s="62"/>
      <c r="P452" s="62"/>
      <c r="Q452"/>
      <c r="R452"/>
      <c r="S452"/>
      <c r="T452"/>
      <c r="U452"/>
      <c r="V452"/>
      <c r="W452"/>
    </row>
    <row r="453" spans="1:23" s="13" customFormat="1" ht="12.75">
      <c r="A453" s="264"/>
      <c r="B453" s="94"/>
      <c r="C453" s="95" t="s">
        <v>18</v>
      </c>
      <c r="D453" s="248"/>
      <c r="E453" s="228">
        <f>0.94*95%</f>
        <v>0.8929999999999999</v>
      </c>
      <c r="F453" s="57"/>
      <c r="G453" s="57"/>
      <c r="H453" s="61"/>
      <c r="I453" s="62"/>
      <c r="J453" s="62"/>
      <c r="K453" s="249"/>
      <c r="L453" s="62"/>
      <c r="M453" s="62"/>
      <c r="N453" s="83"/>
      <c r="O453" s="62"/>
      <c r="P453" s="62"/>
      <c r="Q453"/>
      <c r="R453"/>
      <c r="S453"/>
      <c r="T453"/>
      <c r="U453"/>
      <c r="V453"/>
      <c r="W453"/>
    </row>
    <row r="454" spans="1:23" s="13" customFormat="1" ht="12.75">
      <c r="A454" s="264"/>
      <c r="B454" s="94"/>
      <c r="C454" s="108" t="s">
        <v>19</v>
      </c>
      <c r="D454" s="53"/>
      <c r="E454" s="93">
        <v>0.65</v>
      </c>
      <c r="F454" s="57"/>
      <c r="G454" s="57"/>
      <c r="H454" s="40"/>
      <c r="I454" s="62"/>
      <c r="J454" s="62"/>
      <c r="K454" s="249"/>
      <c r="L454" s="62"/>
      <c r="M454" s="62"/>
      <c r="N454" s="83"/>
      <c r="O454" s="37">
        <f>SUM(H455:H457)*E454</f>
        <v>1074.7873499999998</v>
      </c>
      <c r="P454" s="62"/>
      <c r="Q454"/>
      <c r="R454"/>
      <c r="S454"/>
      <c r="T454"/>
      <c r="U454"/>
      <c r="V454"/>
      <c r="W454"/>
    </row>
    <row r="455" spans="1:23" s="13" customFormat="1" ht="12.75">
      <c r="A455" s="264"/>
      <c r="B455" s="94">
        <v>1</v>
      </c>
      <c r="C455" s="95" t="s">
        <v>276</v>
      </c>
      <c r="D455" s="94" t="s">
        <v>21</v>
      </c>
      <c r="E455" s="109">
        <v>23.8</v>
      </c>
      <c r="F455" s="57">
        <f>E455*F452</f>
        <v>11.9</v>
      </c>
      <c r="G455" s="57">
        <v>79.13</v>
      </c>
      <c r="H455" s="242">
        <f>PRODUCT(F455,G455)</f>
        <v>941.6469999999999</v>
      </c>
      <c r="I455" s="62"/>
      <c r="J455" s="62"/>
      <c r="K455" s="62"/>
      <c r="L455" s="249">
        <f>SUM(H455)</f>
        <v>941.6469999999999</v>
      </c>
      <c r="M455" s="62"/>
      <c r="N455" s="62"/>
      <c r="O455" s="62"/>
      <c r="P455" s="62"/>
      <c r="Q455"/>
      <c r="R455"/>
      <c r="S455"/>
      <c r="T455"/>
      <c r="U455"/>
      <c r="V455"/>
      <c r="W455"/>
    </row>
    <row r="456" spans="1:23" s="13" customFormat="1" ht="12.75">
      <c r="A456" s="264"/>
      <c r="B456" s="69"/>
      <c r="C456" s="95" t="s">
        <v>22</v>
      </c>
      <c r="D456" s="94"/>
      <c r="E456" s="109">
        <v>3.8</v>
      </c>
      <c r="F456" s="57"/>
      <c r="G456" s="57"/>
      <c r="H456" s="76"/>
      <c r="I456" s="62"/>
      <c r="J456" s="62"/>
      <c r="K456" s="249">
        <f>SUM(H455:H457)*E453</f>
        <v>1476.5924669999997</v>
      </c>
      <c r="L456" s="62"/>
      <c r="M456" s="62"/>
      <c r="N456" s="62"/>
      <c r="O456" s="62"/>
      <c r="P456" s="62"/>
      <c r="Q456"/>
      <c r="R456"/>
      <c r="S456"/>
      <c r="T456"/>
      <c r="U456"/>
      <c r="V456"/>
      <c r="W456"/>
    </row>
    <row r="457" spans="1:23" s="13" customFormat="1" ht="12.75">
      <c r="A457" s="264"/>
      <c r="B457" s="94">
        <v>2</v>
      </c>
      <c r="C457" s="95" t="s">
        <v>23</v>
      </c>
      <c r="D457" s="94" t="s">
        <v>21</v>
      </c>
      <c r="E457" s="109">
        <f>16-E460</f>
        <v>15.89</v>
      </c>
      <c r="F457" s="57">
        <f>E457*F452</f>
        <v>7.945</v>
      </c>
      <c r="G457" s="57">
        <v>89.6</v>
      </c>
      <c r="H457" s="242">
        <f>PRODUCT(F457,G457)</f>
        <v>711.872</v>
      </c>
      <c r="I457" s="62"/>
      <c r="J457" s="62"/>
      <c r="K457" s="62"/>
      <c r="L457" s="62"/>
      <c r="M457" s="249">
        <f>SUM(H457)</f>
        <v>711.872</v>
      </c>
      <c r="N457" s="62"/>
      <c r="O457" s="62"/>
      <c r="P457" s="62"/>
      <c r="Q457"/>
      <c r="R457" s="7"/>
      <c r="S457" s="7"/>
      <c r="T457" s="7"/>
      <c r="U457" s="7"/>
      <c r="V457" s="7"/>
      <c r="W457" s="7"/>
    </row>
    <row r="458" spans="1:23" s="13" customFormat="1" ht="12.75">
      <c r="A458" s="264"/>
      <c r="B458" s="94">
        <v>3</v>
      </c>
      <c r="C458" s="95" t="s">
        <v>24</v>
      </c>
      <c r="D458" s="94"/>
      <c r="E458" s="109"/>
      <c r="F458" s="267"/>
      <c r="G458" s="268"/>
      <c r="H458" s="269"/>
      <c r="I458" s="249">
        <f>SUM(H459:H463)</f>
        <v>1222.9026999999999</v>
      </c>
      <c r="J458" s="62"/>
      <c r="K458" s="62"/>
      <c r="L458" s="62"/>
      <c r="M458" s="62"/>
      <c r="N458" s="62"/>
      <c r="O458" s="62"/>
      <c r="P458" s="62"/>
      <c r="Q458"/>
      <c r="R458" s="7"/>
      <c r="S458" s="7"/>
      <c r="T458" s="7"/>
      <c r="U458" s="7"/>
      <c r="V458" s="7"/>
      <c r="W458" s="7"/>
    </row>
    <row r="459" spans="1:23" s="13" customFormat="1" ht="12.75">
      <c r="A459" s="264"/>
      <c r="B459" s="94">
        <v>21102</v>
      </c>
      <c r="C459" s="95" t="s">
        <v>277</v>
      </c>
      <c r="D459" s="94" t="s">
        <v>26</v>
      </c>
      <c r="E459" s="109">
        <v>0.11</v>
      </c>
      <c r="F459" s="267">
        <f>E459*F452</f>
        <v>0.055</v>
      </c>
      <c r="G459" s="57">
        <v>491.01</v>
      </c>
      <c r="H459" s="242">
        <f>PRODUCT(F459,G459)</f>
        <v>27.00555</v>
      </c>
      <c r="I459" s="62"/>
      <c r="J459" s="62"/>
      <c r="K459" s="62"/>
      <c r="L459" s="62"/>
      <c r="M459" s="62"/>
      <c r="N459" s="62"/>
      <c r="O459" s="62"/>
      <c r="P459" s="62"/>
      <c r="Q459"/>
      <c r="R459" s="7"/>
      <c r="S459" s="7"/>
      <c r="T459" s="7"/>
      <c r="U459" s="7"/>
      <c r="V459" s="7"/>
      <c r="W459" s="7"/>
    </row>
    <row r="460" spans="1:23" s="13" customFormat="1" ht="12.75">
      <c r="A460" s="264"/>
      <c r="B460" s="94">
        <v>400002</v>
      </c>
      <c r="C460" s="95" t="s">
        <v>278</v>
      </c>
      <c r="D460" s="94" t="s">
        <v>26</v>
      </c>
      <c r="E460" s="109">
        <v>0.11</v>
      </c>
      <c r="F460" s="267">
        <f>E460*F452</f>
        <v>0.055</v>
      </c>
      <c r="G460" s="57">
        <v>444.37</v>
      </c>
      <c r="H460" s="242">
        <f>PRODUCT(F460,G460)</f>
        <v>24.44035</v>
      </c>
      <c r="I460" s="62"/>
      <c r="J460" s="62"/>
      <c r="K460" s="62"/>
      <c r="L460" s="62"/>
      <c r="M460" s="62"/>
      <c r="N460" s="62"/>
      <c r="O460" s="62"/>
      <c r="P460" s="62"/>
      <c r="Q460"/>
      <c r="R460" s="7"/>
      <c r="S460" s="7"/>
      <c r="T460" s="7"/>
      <c r="U460" s="7"/>
      <c r="V460" s="7"/>
      <c r="W460" s="7"/>
    </row>
    <row r="461" spans="1:23" s="13" customFormat="1" ht="12.75">
      <c r="A461" s="264"/>
      <c r="B461" s="94">
        <v>30902</v>
      </c>
      <c r="C461" s="95" t="s">
        <v>279</v>
      </c>
      <c r="D461" s="94" t="s">
        <v>26</v>
      </c>
      <c r="E461" s="109">
        <v>15.8</v>
      </c>
      <c r="F461" s="267">
        <f>E461*F452</f>
        <v>7.9</v>
      </c>
      <c r="G461" s="57">
        <v>138.35</v>
      </c>
      <c r="H461" s="242">
        <f>PRODUCT(F461,G461)</f>
        <v>1092.965</v>
      </c>
      <c r="I461" s="62"/>
      <c r="J461" s="62"/>
      <c r="K461" s="62"/>
      <c r="L461" s="62"/>
      <c r="M461" s="62"/>
      <c r="N461" s="62"/>
      <c r="O461" s="62"/>
      <c r="P461" s="62"/>
      <c r="Q461"/>
      <c r="R461" s="7"/>
      <c r="S461" s="7"/>
      <c r="T461" s="7"/>
      <c r="U461" s="7"/>
      <c r="V461" s="7"/>
      <c r="W461" s="7"/>
    </row>
    <row r="462" spans="1:23" s="13" customFormat="1" ht="12.75">
      <c r="A462" s="264"/>
      <c r="B462" s="94">
        <v>40502</v>
      </c>
      <c r="C462" s="95" t="s">
        <v>280</v>
      </c>
      <c r="D462" s="94" t="s">
        <v>26</v>
      </c>
      <c r="E462" s="109">
        <v>2.7</v>
      </c>
      <c r="F462" s="267">
        <f>E462*F452</f>
        <v>1.35</v>
      </c>
      <c r="G462" s="57">
        <v>38.8</v>
      </c>
      <c r="H462" s="242">
        <f>PRODUCT(F462,G462)</f>
        <v>52.38</v>
      </c>
      <c r="I462" s="62"/>
      <c r="J462" s="62"/>
      <c r="K462" s="62"/>
      <c r="L462" s="62"/>
      <c r="M462" s="62"/>
      <c r="N462" s="62"/>
      <c r="O462" s="62"/>
      <c r="P462" s="62"/>
      <c r="Q462"/>
      <c r="R462" s="7"/>
      <c r="S462" s="7"/>
      <c r="T462" s="7"/>
      <c r="U462" s="7"/>
      <c r="V462" s="7"/>
      <c r="W462" s="7"/>
    </row>
    <row r="463" spans="1:23" s="13" customFormat="1" ht="12.75">
      <c r="A463" s="264"/>
      <c r="B463" s="94">
        <v>331451</v>
      </c>
      <c r="C463" s="95" t="s">
        <v>42</v>
      </c>
      <c r="D463" s="94" t="s">
        <v>26</v>
      </c>
      <c r="E463" s="109">
        <v>4.84</v>
      </c>
      <c r="F463" s="267">
        <f>E463*F452</f>
        <v>2.42</v>
      </c>
      <c r="G463" s="57">
        <v>10.79</v>
      </c>
      <c r="H463" s="242">
        <f>PRODUCT(F463,G463)</f>
        <v>26.1118</v>
      </c>
      <c r="I463" s="62"/>
      <c r="J463" s="62"/>
      <c r="K463" s="62"/>
      <c r="L463" s="62"/>
      <c r="M463" s="62"/>
      <c r="N463" s="62"/>
      <c r="O463" s="62"/>
      <c r="P463" s="62"/>
      <c r="Q463"/>
      <c r="R463" s="7"/>
      <c r="S463" s="7"/>
      <c r="T463" s="7"/>
      <c r="U463" s="7"/>
      <c r="V463" s="7"/>
      <c r="W463" s="7"/>
    </row>
    <row r="464" spans="1:23" s="13" customFormat="1" ht="12.75">
      <c r="A464" s="264"/>
      <c r="B464" s="94">
        <v>4</v>
      </c>
      <c r="C464" s="95" t="s">
        <v>27</v>
      </c>
      <c r="D464" s="94"/>
      <c r="E464" s="109"/>
      <c r="F464" s="267"/>
      <c r="G464" s="57"/>
      <c r="H464" s="242"/>
      <c r="I464" s="62"/>
      <c r="J464" s="249">
        <f>SUM(H465:H475)</f>
        <v>1460.1102</v>
      </c>
      <c r="K464" s="62"/>
      <c r="L464" s="62"/>
      <c r="M464" s="62"/>
      <c r="N464" s="62"/>
      <c r="O464" s="62"/>
      <c r="P464" s="62"/>
      <c r="Q464"/>
      <c r="R464" s="7"/>
      <c r="S464" s="7"/>
      <c r="T464" s="7"/>
      <c r="U464" s="7"/>
      <c r="V464" s="7"/>
      <c r="W464" s="7"/>
    </row>
    <row r="465" spans="1:29" ht="12.75">
      <c r="A465" s="264"/>
      <c r="B465" s="94" t="s">
        <v>281</v>
      </c>
      <c r="C465" s="95" t="s">
        <v>282</v>
      </c>
      <c r="D465" s="94" t="s">
        <v>211</v>
      </c>
      <c r="E465" s="109">
        <v>1.8</v>
      </c>
      <c r="F465" s="267">
        <f>E465*F452</f>
        <v>0.9</v>
      </c>
      <c r="G465" s="57">
        <v>5.6</v>
      </c>
      <c r="H465" s="242">
        <f aca="true" t="shared" si="6" ref="H465:H475">PRODUCT(F465,G465)</f>
        <v>5.04</v>
      </c>
      <c r="I465" s="62"/>
      <c r="J465" s="62"/>
      <c r="K465" s="62"/>
      <c r="L465" s="62"/>
      <c r="M465" s="62"/>
      <c r="N465" s="62"/>
      <c r="O465" s="62"/>
      <c r="P465" s="62"/>
      <c r="Q465"/>
      <c r="X465"/>
      <c r="Y465"/>
      <c r="Z465"/>
      <c r="AA465"/>
      <c r="AB465"/>
      <c r="AC465"/>
    </row>
    <row r="466" spans="1:29" ht="12.75">
      <c r="A466" s="264"/>
      <c r="B466" s="94" t="s">
        <v>283</v>
      </c>
      <c r="C466" s="95" t="s">
        <v>284</v>
      </c>
      <c r="D466" s="94" t="s">
        <v>50</v>
      </c>
      <c r="E466" s="109">
        <v>18</v>
      </c>
      <c r="F466" s="267">
        <f>E466*F452</f>
        <v>9</v>
      </c>
      <c r="G466" s="57">
        <v>0.6</v>
      </c>
      <c r="H466" s="242">
        <f t="shared" si="6"/>
        <v>5.3999999999999995</v>
      </c>
      <c r="I466" s="62"/>
      <c r="J466" s="62"/>
      <c r="K466" s="62"/>
      <c r="L466" s="62"/>
      <c r="M466" s="62"/>
      <c r="N466" s="62"/>
      <c r="O466" s="62"/>
      <c r="P466" s="62"/>
      <c r="Q466"/>
      <c r="X466"/>
      <c r="Y466"/>
      <c r="Z466"/>
      <c r="AA466"/>
      <c r="AB466"/>
      <c r="AC466"/>
    </row>
    <row r="467" spans="1:23" s="13" customFormat="1" ht="12.75">
      <c r="A467" s="264"/>
      <c r="B467" s="94" t="s">
        <v>285</v>
      </c>
      <c r="C467" s="95" t="s">
        <v>286</v>
      </c>
      <c r="D467" s="94" t="s">
        <v>211</v>
      </c>
      <c r="E467" s="109">
        <v>6.7</v>
      </c>
      <c r="F467" s="267">
        <f>E467*F452</f>
        <v>3.35</v>
      </c>
      <c r="G467" s="57">
        <v>13</v>
      </c>
      <c r="H467" s="242">
        <f t="shared" si="6"/>
        <v>43.550000000000004</v>
      </c>
      <c r="I467" s="62"/>
      <c r="J467" s="62"/>
      <c r="K467" s="62"/>
      <c r="L467" s="62"/>
      <c r="M467" s="62"/>
      <c r="N467" s="62"/>
      <c r="O467" s="62"/>
      <c r="P467" s="62"/>
      <c r="Q467"/>
      <c r="R467" s="7"/>
      <c r="S467" s="7"/>
      <c r="T467" s="7"/>
      <c r="U467" s="7"/>
      <c r="V467" s="7"/>
      <c r="W467" s="7"/>
    </row>
    <row r="468" spans="1:23" s="13" customFormat="1" ht="12.75">
      <c r="A468" s="264"/>
      <c r="B468" s="94" t="s">
        <v>287</v>
      </c>
      <c r="C468" s="95" t="s">
        <v>288</v>
      </c>
      <c r="D468" s="94" t="s">
        <v>211</v>
      </c>
      <c r="E468" s="109">
        <v>1</v>
      </c>
      <c r="F468" s="267">
        <f>E468*F452</f>
        <v>0.5</v>
      </c>
      <c r="G468" s="57">
        <v>11</v>
      </c>
      <c r="H468" s="242">
        <f t="shared" si="6"/>
        <v>5.5</v>
      </c>
      <c r="I468" s="62"/>
      <c r="J468" s="62"/>
      <c r="K468" s="62"/>
      <c r="L468" s="62"/>
      <c r="M468" s="62"/>
      <c r="N468" s="62"/>
      <c r="O468" s="62"/>
      <c r="P468" s="62"/>
      <c r="Q468"/>
      <c r="R468" s="7"/>
      <c r="S468" s="7"/>
      <c r="T468" s="7"/>
      <c r="U468" s="7"/>
      <c r="V468" s="7"/>
      <c r="W468" s="7"/>
    </row>
    <row r="469" spans="1:23" s="13" customFormat="1" ht="12.75">
      <c r="A469" s="264"/>
      <c r="B469" s="94" t="s">
        <v>289</v>
      </c>
      <c r="C469" s="95" t="s">
        <v>290</v>
      </c>
      <c r="D469" s="94" t="s">
        <v>35</v>
      </c>
      <c r="E469" s="109">
        <v>0.0021</v>
      </c>
      <c r="F469" s="267">
        <f>E469*F452</f>
        <v>0.00105</v>
      </c>
      <c r="G469" s="57">
        <v>22276</v>
      </c>
      <c r="H469" s="242">
        <f t="shared" si="6"/>
        <v>23.389799999999997</v>
      </c>
      <c r="I469" s="62"/>
      <c r="J469" s="62"/>
      <c r="K469" s="62"/>
      <c r="L469" s="62"/>
      <c r="M469" s="62"/>
      <c r="N469" s="62"/>
      <c r="O469" s="62"/>
      <c r="P469" s="62"/>
      <c r="Q469"/>
      <c r="R469" s="7"/>
      <c r="S469" s="7"/>
      <c r="T469" s="7"/>
      <c r="U469" s="7"/>
      <c r="V469" s="7"/>
      <c r="W469" s="7"/>
    </row>
    <row r="470" spans="1:23" s="13" customFormat="1" ht="12.75">
      <c r="A470" s="264"/>
      <c r="B470" s="94" t="s">
        <v>291</v>
      </c>
      <c r="C470" s="95" t="s">
        <v>292</v>
      </c>
      <c r="D470" s="94" t="s">
        <v>72</v>
      </c>
      <c r="E470" s="109">
        <v>0.96</v>
      </c>
      <c r="F470" s="267">
        <f>E470*F452</f>
        <v>0.48</v>
      </c>
      <c r="G470" s="57">
        <v>57.98</v>
      </c>
      <c r="H470" s="242">
        <f t="shared" si="6"/>
        <v>27.830399999999997</v>
      </c>
      <c r="I470" s="62"/>
      <c r="J470" s="62"/>
      <c r="K470" s="62"/>
      <c r="L470" s="62"/>
      <c r="M470" s="62"/>
      <c r="N470" s="62"/>
      <c r="O470" s="62"/>
      <c r="P470" s="62"/>
      <c r="Q470"/>
      <c r="R470" s="7"/>
      <c r="S470" s="7"/>
      <c r="T470" s="7"/>
      <c r="U470" s="7"/>
      <c r="V470" s="7"/>
      <c r="W470" s="7"/>
    </row>
    <row r="471" spans="1:23" s="13" customFormat="1" ht="12.75">
      <c r="A471" s="264"/>
      <c r="B471" s="94" t="s">
        <v>293</v>
      </c>
      <c r="C471" s="95" t="s">
        <v>294</v>
      </c>
      <c r="D471" s="94" t="s">
        <v>72</v>
      </c>
      <c r="E471" s="109">
        <v>0.2</v>
      </c>
      <c r="F471" s="267">
        <f>E471*F452</f>
        <v>0.1</v>
      </c>
      <c r="G471" s="57">
        <v>65</v>
      </c>
      <c r="H471" s="242">
        <f t="shared" si="6"/>
        <v>6.5</v>
      </c>
      <c r="I471" s="62"/>
      <c r="J471" s="62"/>
      <c r="K471" s="62"/>
      <c r="L471" s="62"/>
      <c r="M471" s="62"/>
      <c r="N471" s="62"/>
      <c r="O471" s="62"/>
      <c r="P471" s="62"/>
      <c r="Q471"/>
      <c r="R471" s="7"/>
      <c r="S471" s="7"/>
      <c r="T471" s="7"/>
      <c r="U471" s="7"/>
      <c r="V471" s="7"/>
      <c r="W471" s="7"/>
    </row>
    <row r="472" spans="1:23" s="13" customFormat="1" ht="12.75">
      <c r="A472" s="264"/>
      <c r="B472" s="94" t="s">
        <v>295</v>
      </c>
      <c r="C472" s="95" t="s">
        <v>296</v>
      </c>
      <c r="D472" s="94" t="s">
        <v>211</v>
      </c>
      <c r="E472" s="109">
        <v>13.4</v>
      </c>
      <c r="F472" s="267">
        <f>E472*F452</f>
        <v>6.7</v>
      </c>
      <c r="G472" s="57">
        <v>16</v>
      </c>
      <c r="H472" s="242">
        <f t="shared" si="6"/>
        <v>107.2</v>
      </c>
      <c r="I472" s="62"/>
      <c r="J472" s="62"/>
      <c r="K472" s="62"/>
      <c r="L472" s="62"/>
      <c r="M472" s="62"/>
      <c r="N472" s="62"/>
      <c r="O472" s="62"/>
      <c r="P472" s="62"/>
      <c r="Q472"/>
      <c r="R472" s="7"/>
      <c r="S472" s="7"/>
      <c r="T472" s="7"/>
      <c r="U472" s="7"/>
      <c r="V472" s="7"/>
      <c r="W472" s="7"/>
    </row>
    <row r="473" spans="1:23" s="13" customFormat="1" ht="12.75">
      <c r="A473" s="264"/>
      <c r="B473" s="94" t="s">
        <v>297</v>
      </c>
      <c r="C473" s="95" t="s">
        <v>298</v>
      </c>
      <c r="D473" s="94" t="s">
        <v>211</v>
      </c>
      <c r="E473" s="109">
        <v>13.4</v>
      </c>
      <c r="F473" s="267">
        <f>E473*F452</f>
        <v>6.7</v>
      </c>
      <c r="G473" s="57">
        <v>21</v>
      </c>
      <c r="H473" s="242">
        <f t="shared" si="6"/>
        <v>140.70000000000002</v>
      </c>
      <c r="I473" s="62"/>
      <c r="J473" s="62"/>
      <c r="K473" s="62"/>
      <c r="L473" s="62"/>
      <c r="M473" s="62"/>
      <c r="N473" s="62"/>
      <c r="O473" s="62"/>
      <c r="P473" s="62"/>
      <c r="Q473"/>
      <c r="R473" s="7"/>
      <c r="S473" s="7"/>
      <c r="T473" s="7"/>
      <c r="U473" s="7"/>
      <c r="V473" s="7"/>
      <c r="W473" s="7"/>
    </row>
    <row r="474" spans="1:23" s="13" customFormat="1" ht="12.75">
      <c r="A474" s="92"/>
      <c r="B474" s="94"/>
      <c r="C474" s="95" t="s">
        <v>299</v>
      </c>
      <c r="D474" s="94" t="s">
        <v>300</v>
      </c>
      <c r="E474" s="109" t="s">
        <v>122</v>
      </c>
      <c r="F474" s="57">
        <f>F452*100</f>
        <v>50</v>
      </c>
      <c r="G474" s="57">
        <v>21.9</v>
      </c>
      <c r="H474" s="76">
        <f t="shared" si="6"/>
        <v>1095</v>
      </c>
      <c r="I474" s="249"/>
      <c r="J474" s="62"/>
      <c r="K474" s="62"/>
      <c r="L474" s="62"/>
      <c r="M474" s="62"/>
      <c r="N474" s="83"/>
      <c r="O474" s="62"/>
      <c r="P474" s="62"/>
      <c r="Q474"/>
      <c r="R474" s="7"/>
      <c r="S474" s="7"/>
      <c r="T474" s="7"/>
      <c r="U474" s="7"/>
      <c r="V474" s="7"/>
      <c r="W474" s="7"/>
    </row>
    <row r="475" spans="1:18" s="13" customFormat="1" ht="12.75">
      <c r="A475" s="92"/>
      <c r="B475" s="94"/>
      <c r="C475" s="95" t="s">
        <v>301</v>
      </c>
      <c r="D475" s="94" t="s">
        <v>50</v>
      </c>
      <c r="E475" s="109" t="s">
        <v>122</v>
      </c>
      <c r="F475" s="57">
        <v>0</v>
      </c>
      <c r="G475" s="57">
        <v>14.5</v>
      </c>
      <c r="H475" s="76">
        <f t="shared" si="6"/>
        <v>0</v>
      </c>
      <c r="I475" s="249"/>
      <c r="J475" s="62"/>
      <c r="K475" s="62"/>
      <c r="L475" s="62"/>
      <c r="M475" s="62"/>
      <c r="N475" s="83"/>
      <c r="O475" s="62"/>
      <c r="P475" s="62"/>
      <c r="Q475" s="62"/>
      <c r="R475" s="62"/>
    </row>
    <row r="476" spans="1:23" s="13" customFormat="1" ht="51">
      <c r="A476" s="264">
        <v>6</v>
      </c>
      <c r="B476" s="53" t="s">
        <v>302</v>
      </c>
      <c r="C476" s="54" t="s">
        <v>303</v>
      </c>
      <c r="D476" s="265" t="s">
        <v>170</v>
      </c>
      <c r="E476" s="109"/>
      <c r="F476" s="159">
        <v>0.5</v>
      </c>
      <c r="G476" s="57"/>
      <c r="H476" s="266"/>
      <c r="I476" s="62"/>
      <c r="J476" s="62"/>
      <c r="K476" s="62"/>
      <c r="L476" s="62"/>
      <c r="M476" s="62"/>
      <c r="N476" s="62"/>
      <c r="O476" s="62"/>
      <c r="P476" s="62"/>
      <c r="Q476"/>
      <c r="R476"/>
      <c r="S476"/>
      <c r="T476"/>
      <c r="U476"/>
      <c r="V476"/>
      <c r="W476"/>
    </row>
    <row r="477" spans="1:23" s="13" customFormat="1" ht="12.75">
      <c r="A477" s="264"/>
      <c r="B477" s="94"/>
      <c r="C477" s="95" t="s">
        <v>18</v>
      </c>
      <c r="D477" s="248"/>
      <c r="E477" s="228">
        <f>0.94*95%</f>
        <v>0.8929999999999999</v>
      </c>
      <c r="F477" s="57"/>
      <c r="G477" s="57"/>
      <c r="H477" s="61"/>
      <c r="I477" s="62"/>
      <c r="J477" s="62"/>
      <c r="K477" s="249"/>
      <c r="L477" s="62"/>
      <c r="M477" s="62"/>
      <c r="N477" s="83"/>
      <c r="O477" s="62"/>
      <c r="P477" s="62"/>
      <c r="Q477"/>
      <c r="R477"/>
      <c r="S477"/>
      <c r="T477"/>
      <c r="U477"/>
      <c r="V477"/>
      <c r="W477"/>
    </row>
    <row r="478" spans="1:18" s="13" customFormat="1" ht="12.75">
      <c r="A478" s="264"/>
      <c r="B478" s="94"/>
      <c r="C478" s="108" t="s">
        <v>19</v>
      </c>
      <c r="D478" s="53"/>
      <c r="E478" s="93">
        <v>0.65</v>
      </c>
      <c r="F478" s="57"/>
      <c r="G478" s="57"/>
      <c r="H478" s="40"/>
      <c r="I478" s="62"/>
      <c r="J478" s="62"/>
      <c r="K478" s="249"/>
      <c r="L478" s="62"/>
      <c r="M478" s="62"/>
      <c r="N478" s="83"/>
      <c r="O478" s="37">
        <f>SUM(H479:H481)*E478</f>
        <v>173.916665</v>
      </c>
      <c r="P478" s="62"/>
      <c r="Q478" s="62"/>
      <c r="R478" s="62"/>
    </row>
    <row r="479" spans="1:18" s="13" customFormat="1" ht="12.75">
      <c r="A479" s="264"/>
      <c r="B479" s="94">
        <v>1</v>
      </c>
      <c r="C479" s="95" t="s">
        <v>276</v>
      </c>
      <c r="D479" s="94" t="s">
        <v>21</v>
      </c>
      <c r="E479" s="109">
        <v>6.74</v>
      </c>
      <c r="F479" s="261">
        <f>E479*F476</f>
        <v>3.37</v>
      </c>
      <c r="G479" s="57">
        <v>79.13</v>
      </c>
      <c r="H479" s="76">
        <f>PRODUCT(F479,G479)</f>
        <v>266.6681</v>
      </c>
      <c r="I479" s="62"/>
      <c r="J479" s="62"/>
      <c r="K479" s="62"/>
      <c r="L479" s="249">
        <f>SUM(H479)</f>
        <v>266.6681</v>
      </c>
      <c r="M479" s="62"/>
      <c r="N479" s="62"/>
      <c r="O479" s="62"/>
      <c r="P479" s="62"/>
      <c r="Q479" s="62"/>
      <c r="R479" s="62"/>
    </row>
    <row r="480" spans="1:18" s="13" customFormat="1" ht="12.75">
      <c r="A480" s="264"/>
      <c r="B480" s="69"/>
      <c r="C480" s="95" t="s">
        <v>22</v>
      </c>
      <c r="D480" s="94"/>
      <c r="E480" s="109">
        <v>3.8</v>
      </c>
      <c r="F480" s="261"/>
      <c r="G480" s="57"/>
      <c r="H480" s="242"/>
      <c r="I480" s="62"/>
      <c r="J480" s="62"/>
      <c r="K480" s="249">
        <f>SUM(H479:H481)*E477</f>
        <v>238.93474129999998</v>
      </c>
      <c r="L480" s="62"/>
      <c r="M480" s="62"/>
      <c r="N480" s="62"/>
      <c r="O480" s="62"/>
      <c r="P480" s="62"/>
      <c r="Q480" s="62"/>
      <c r="R480" s="62"/>
    </row>
    <row r="481" spans="1:18" s="13" customFormat="1" ht="12.75">
      <c r="A481" s="264"/>
      <c r="B481" s="94">
        <v>2</v>
      </c>
      <c r="C481" s="95" t="s">
        <v>23</v>
      </c>
      <c r="D481" s="94" t="s">
        <v>21</v>
      </c>
      <c r="E481" s="109">
        <v>0.02</v>
      </c>
      <c r="F481" s="261">
        <f>E481*F476</f>
        <v>0.01</v>
      </c>
      <c r="G481" s="57">
        <v>89.6</v>
      </c>
      <c r="H481" s="76">
        <f>PRODUCT(F481,G481)</f>
        <v>0.8959999999999999</v>
      </c>
      <c r="I481" s="62"/>
      <c r="J481" s="62"/>
      <c r="K481" s="62"/>
      <c r="L481" s="62"/>
      <c r="M481" s="249">
        <f>SUM(H481)</f>
        <v>0.8959999999999999</v>
      </c>
      <c r="N481" s="62"/>
      <c r="O481" s="62"/>
      <c r="P481" s="62"/>
      <c r="Q481" s="62"/>
      <c r="R481" s="62"/>
    </row>
    <row r="482" spans="1:18" s="13" customFormat="1" ht="12.75">
      <c r="A482" s="264"/>
      <c r="B482" s="94">
        <v>3</v>
      </c>
      <c r="C482" s="95" t="s">
        <v>24</v>
      </c>
      <c r="D482" s="94"/>
      <c r="E482" s="109"/>
      <c r="F482" s="261"/>
      <c r="G482" s="57"/>
      <c r="H482" s="242"/>
      <c r="I482" s="249">
        <f>SUM(H483:H484)</f>
        <v>9.3538</v>
      </c>
      <c r="J482" s="62"/>
      <c r="K482" s="62"/>
      <c r="L482" s="62"/>
      <c r="M482" s="62"/>
      <c r="N482" s="62"/>
      <c r="O482" s="62"/>
      <c r="P482" s="62"/>
      <c r="Q482" s="62"/>
      <c r="R482" s="62"/>
    </row>
    <row r="483" spans="1:23" ht="12.75">
      <c r="A483" s="264"/>
      <c r="B483" s="94">
        <v>21102</v>
      </c>
      <c r="C483" s="95" t="s">
        <v>277</v>
      </c>
      <c r="D483" s="94" t="s">
        <v>26</v>
      </c>
      <c r="E483" s="109">
        <v>0.02</v>
      </c>
      <c r="F483" s="261">
        <f>E483*F476</f>
        <v>0.01</v>
      </c>
      <c r="G483" s="57">
        <v>491.01</v>
      </c>
      <c r="H483" s="76">
        <f>PRODUCT(F483,G483)</f>
        <v>4.9101</v>
      </c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13"/>
      <c r="T483" s="13"/>
      <c r="U483" s="13"/>
      <c r="V483" s="13"/>
      <c r="W483" s="13"/>
    </row>
    <row r="484" spans="1:23" ht="12.75">
      <c r="A484" s="264"/>
      <c r="B484" s="94">
        <v>400002</v>
      </c>
      <c r="C484" s="95" t="s">
        <v>278</v>
      </c>
      <c r="D484" s="94" t="s">
        <v>26</v>
      </c>
      <c r="E484" s="109">
        <v>0.02</v>
      </c>
      <c r="F484" s="261">
        <f>E484*F476</f>
        <v>0.01</v>
      </c>
      <c r="G484" s="57">
        <v>444.37</v>
      </c>
      <c r="H484" s="76">
        <f>PRODUCT(F484,G484)</f>
        <v>4.4437</v>
      </c>
      <c r="I484" s="62"/>
      <c r="J484" s="62"/>
      <c r="K484" s="62"/>
      <c r="L484" s="62"/>
      <c r="M484" s="62"/>
      <c r="N484" s="62"/>
      <c r="O484" s="62"/>
      <c r="P484" s="62"/>
      <c r="Q484" s="62"/>
      <c r="R484" s="13"/>
      <c r="S484" s="13"/>
      <c r="T484" s="13"/>
      <c r="U484" s="13"/>
      <c r="V484" s="13"/>
      <c r="W484" s="13"/>
    </row>
    <row r="485" spans="1:23" ht="12.75">
      <c r="A485" s="264"/>
      <c r="B485" s="94">
        <v>4</v>
      </c>
      <c r="C485" s="95" t="s">
        <v>27</v>
      </c>
      <c r="D485" s="94"/>
      <c r="E485" s="109"/>
      <c r="F485" s="267"/>
      <c r="G485" s="57"/>
      <c r="H485" s="242"/>
      <c r="I485" s="62"/>
      <c r="J485" s="249">
        <f>SUM(H486:H494)</f>
        <v>1983.179</v>
      </c>
      <c r="K485" s="62"/>
      <c r="L485" s="62"/>
      <c r="M485" s="62"/>
      <c r="N485" s="62"/>
      <c r="O485" s="62"/>
      <c r="P485" s="62"/>
      <c r="Q485" s="62"/>
      <c r="R485" s="13"/>
      <c r="S485" s="13"/>
      <c r="T485" s="13"/>
      <c r="U485" s="13"/>
      <c r="V485" s="13"/>
      <c r="W485" s="13"/>
    </row>
    <row r="486" spans="1:23" ht="12.75">
      <c r="A486" s="264"/>
      <c r="B486" s="94" t="s">
        <v>304</v>
      </c>
      <c r="C486" s="95" t="s">
        <v>305</v>
      </c>
      <c r="D486" s="94" t="s">
        <v>35</v>
      </c>
      <c r="E486" s="109">
        <v>0.0006</v>
      </c>
      <c r="F486" s="267">
        <f>E486*F476</f>
        <v>0.0003</v>
      </c>
      <c r="G486" s="57">
        <v>2300</v>
      </c>
      <c r="H486" s="76">
        <f aca="true" t="shared" si="7" ref="H486:H494">PRODUCT(F486,G486)</f>
        <v>0.69</v>
      </c>
      <c r="I486" s="62"/>
      <c r="J486" s="62"/>
      <c r="K486" s="62"/>
      <c r="L486" s="62"/>
      <c r="M486" s="62"/>
      <c r="N486" s="62"/>
      <c r="O486" s="62"/>
      <c r="P486" s="62"/>
      <c r="Q486" s="62"/>
      <c r="R486" s="13"/>
      <c r="S486" s="13"/>
      <c r="T486" s="13"/>
      <c r="U486" s="13"/>
      <c r="V486" s="13"/>
      <c r="W486" s="13"/>
    </row>
    <row r="487" spans="1:23" ht="12.75">
      <c r="A487" s="264"/>
      <c r="B487" s="94" t="s">
        <v>283</v>
      </c>
      <c r="C487" s="95" t="s">
        <v>284</v>
      </c>
      <c r="D487" s="94" t="s">
        <v>50</v>
      </c>
      <c r="E487" s="109">
        <v>12.2</v>
      </c>
      <c r="F487" s="267">
        <f>E487*F476</f>
        <v>6.1</v>
      </c>
      <c r="G487" s="57">
        <v>0.6</v>
      </c>
      <c r="H487" s="76">
        <f t="shared" si="7"/>
        <v>3.6599999999999997</v>
      </c>
      <c r="I487" s="62"/>
      <c r="J487" s="62"/>
      <c r="K487" s="62"/>
      <c r="L487" s="62"/>
      <c r="M487" s="62"/>
      <c r="N487" s="62"/>
      <c r="O487" s="62"/>
      <c r="P487" s="62"/>
      <c r="Q487" s="13"/>
      <c r="R487" s="13"/>
      <c r="S487" s="13"/>
      <c r="T487" s="13"/>
      <c r="U487" s="13"/>
      <c r="V487" s="13"/>
      <c r="W487" s="13"/>
    </row>
    <row r="488" spans="1:23" ht="12.75">
      <c r="A488" s="264"/>
      <c r="B488" s="94" t="s">
        <v>306</v>
      </c>
      <c r="C488" s="95" t="s">
        <v>307</v>
      </c>
      <c r="D488" s="94" t="s">
        <v>72</v>
      </c>
      <c r="E488" s="109">
        <v>0.16</v>
      </c>
      <c r="F488" s="267">
        <f>E488*F476</f>
        <v>0.08</v>
      </c>
      <c r="G488" s="57">
        <v>150</v>
      </c>
      <c r="H488" s="76">
        <f t="shared" si="7"/>
        <v>12</v>
      </c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13"/>
      <c r="T488" s="13"/>
      <c r="U488" s="13"/>
      <c r="V488" s="13"/>
      <c r="W488" s="13"/>
    </row>
    <row r="489" spans="1:23" ht="12.75">
      <c r="A489" s="264"/>
      <c r="B489" s="94" t="s">
        <v>308</v>
      </c>
      <c r="C489" s="95" t="s">
        <v>309</v>
      </c>
      <c r="D489" s="94" t="s">
        <v>201</v>
      </c>
      <c r="E489" s="109">
        <v>0.31</v>
      </c>
      <c r="F489" s="267">
        <f>E489*F476</f>
        <v>0.155</v>
      </c>
      <c r="G489" s="57">
        <v>120</v>
      </c>
      <c r="H489" s="76">
        <f t="shared" si="7"/>
        <v>18.6</v>
      </c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13"/>
      <c r="T489" s="13"/>
      <c r="U489" s="13"/>
      <c r="V489" s="13"/>
      <c r="W489" s="13"/>
    </row>
    <row r="490" spans="1:23" ht="12.75">
      <c r="A490" s="264"/>
      <c r="B490" s="94" t="s">
        <v>310</v>
      </c>
      <c r="C490" s="95" t="s">
        <v>311</v>
      </c>
      <c r="D490" s="94" t="s">
        <v>201</v>
      </c>
      <c r="E490" s="109">
        <v>0.05</v>
      </c>
      <c r="F490" s="267">
        <f>E490*F476</f>
        <v>0.025</v>
      </c>
      <c r="G490" s="57">
        <v>55</v>
      </c>
      <c r="H490" s="76">
        <f t="shared" si="7"/>
        <v>1.375</v>
      </c>
      <c r="I490" s="62"/>
      <c r="J490" s="62"/>
      <c r="K490" s="62"/>
      <c r="L490" s="62"/>
      <c r="M490" s="62"/>
      <c r="N490" s="62"/>
      <c r="O490" s="62"/>
      <c r="P490" s="62"/>
      <c r="Q490" s="13"/>
      <c r="R490" s="13"/>
      <c r="S490" s="13"/>
      <c r="T490" s="13"/>
      <c r="U490" s="13"/>
      <c r="V490" s="13"/>
      <c r="W490" s="13"/>
    </row>
    <row r="491" spans="1:23" ht="12.75">
      <c r="A491" s="264"/>
      <c r="B491" s="94" t="s">
        <v>312</v>
      </c>
      <c r="C491" s="95" t="s">
        <v>313</v>
      </c>
      <c r="D491" s="94" t="s">
        <v>211</v>
      </c>
      <c r="E491" s="109">
        <v>0.8</v>
      </c>
      <c r="F491" s="267">
        <f>E491*F476</f>
        <v>0.4</v>
      </c>
      <c r="G491" s="57">
        <v>3</v>
      </c>
      <c r="H491" s="76">
        <f t="shared" si="7"/>
        <v>1.2000000000000002</v>
      </c>
      <c r="I491" s="62"/>
      <c r="J491" s="62"/>
      <c r="K491" s="62"/>
      <c r="L491" s="62"/>
      <c r="M491" s="62"/>
      <c r="N491" s="62"/>
      <c r="O491" s="62"/>
      <c r="P491" s="62"/>
      <c r="Q491" s="13"/>
      <c r="R491" s="13"/>
      <c r="S491" s="13"/>
      <c r="T491" s="13"/>
      <c r="U491" s="13"/>
      <c r="V491" s="13"/>
      <c r="W491" s="13"/>
    </row>
    <row r="492" spans="1:23" ht="12.75">
      <c r="A492" s="92"/>
      <c r="B492" s="94" t="s">
        <v>314</v>
      </c>
      <c r="C492" s="95" t="s">
        <v>315</v>
      </c>
      <c r="D492" s="94" t="s">
        <v>201</v>
      </c>
      <c r="E492" s="109">
        <v>0.002</v>
      </c>
      <c r="F492" s="267">
        <f>E492*F476</f>
        <v>0.001</v>
      </c>
      <c r="G492" s="57">
        <v>15</v>
      </c>
      <c r="H492" s="76">
        <f t="shared" si="7"/>
        <v>0.015</v>
      </c>
      <c r="I492" s="249"/>
      <c r="J492" s="62"/>
      <c r="K492" s="62"/>
      <c r="L492" s="62"/>
      <c r="M492" s="62"/>
      <c r="N492" s="83"/>
      <c r="O492" s="62"/>
      <c r="P492" s="62"/>
      <c r="Q492" s="13"/>
      <c r="R492" s="13"/>
      <c r="S492" s="13"/>
      <c r="T492" s="13"/>
      <c r="U492" s="13"/>
      <c r="V492" s="13"/>
      <c r="W492" s="13"/>
    </row>
    <row r="493" spans="1:23" ht="12.75">
      <c r="A493" s="92"/>
      <c r="B493" s="94" t="s">
        <v>316</v>
      </c>
      <c r="C493" s="95" t="s">
        <v>317</v>
      </c>
      <c r="D493" s="94" t="s">
        <v>72</v>
      </c>
      <c r="E493" s="109">
        <v>0.02</v>
      </c>
      <c r="F493" s="267">
        <f>E493*F476</f>
        <v>0.01</v>
      </c>
      <c r="G493" s="57">
        <v>63.9</v>
      </c>
      <c r="H493" s="76">
        <f t="shared" si="7"/>
        <v>0.639</v>
      </c>
      <c r="I493" s="249"/>
      <c r="J493" s="62"/>
      <c r="K493" s="62"/>
      <c r="L493" s="62"/>
      <c r="M493" s="62"/>
      <c r="N493" s="83"/>
      <c r="O493" s="62"/>
      <c r="P493" s="62"/>
      <c r="Q493" s="13"/>
      <c r="R493" s="13"/>
      <c r="S493" s="13"/>
      <c r="T493" s="13"/>
      <c r="U493" s="13"/>
      <c r="V493" s="13"/>
      <c r="W493" s="13"/>
    </row>
    <row r="494" spans="1:23" ht="12.75">
      <c r="A494" s="92"/>
      <c r="B494" s="94"/>
      <c r="C494" s="95" t="s">
        <v>318</v>
      </c>
      <c r="D494" s="94" t="s">
        <v>300</v>
      </c>
      <c r="E494" s="109" t="s">
        <v>122</v>
      </c>
      <c r="F494" s="57">
        <f>F476*100</f>
        <v>50</v>
      </c>
      <c r="G494" s="57">
        <v>38.9</v>
      </c>
      <c r="H494" s="76">
        <f t="shared" si="7"/>
        <v>1945</v>
      </c>
      <c r="I494" s="249"/>
      <c r="J494" s="62"/>
      <c r="K494" s="62"/>
      <c r="L494" s="62"/>
      <c r="M494" s="62"/>
      <c r="N494" s="83"/>
      <c r="O494" s="62"/>
      <c r="P494" s="62"/>
      <c r="Q494" s="62"/>
      <c r="R494" s="62"/>
      <c r="S494" s="13"/>
      <c r="T494" s="13"/>
      <c r="U494" s="13"/>
      <c r="V494" s="13"/>
      <c r="W494" s="13"/>
    </row>
    <row r="495" spans="1:15" ht="51">
      <c r="A495" s="264">
        <v>7</v>
      </c>
      <c r="B495" s="53" t="s">
        <v>319</v>
      </c>
      <c r="C495" s="54" t="s">
        <v>320</v>
      </c>
      <c r="D495" s="53" t="s">
        <v>201</v>
      </c>
      <c r="E495" s="109"/>
      <c r="F495" s="159">
        <v>0.06</v>
      </c>
      <c r="G495" s="57"/>
      <c r="H495" s="270"/>
      <c r="I495" s="83"/>
      <c r="J495" s="83"/>
      <c r="K495" s="83"/>
      <c r="L495" s="84"/>
      <c r="M495" s="83"/>
      <c r="N495" s="83"/>
      <c r="O495" s="62"/>
    </row>
    <row r="496" spans="1:15" ht="12.75">
      <c r="A496" s="264"/>
      <c r="B496" s="94"/>
      <c r="C496" s="95" t="s">
        <v>18</v>
      </c>
      <c r="D496" s="248"/>
      <c r="E496" s="228">
        <f>0.94*95%</f>
        <v>0.8929999999999999</v>
      </c>
      <c r="F496" s="57"/>
      <c r="G496" s="57"/>
      <c r="H496" s="169"/>
      <c r="I496" s="62"/>
      <c r="J496" s="62"/>
      <c r="K496" s="249"/>
      <c r="L496" s="62"/>
      <c r="M496" s="62"/>
      <c r="N496" s="83"/>
      <c r="O496" s="62"/>
    </row>
    <row r="497" spans="1:23" ht="12.75">
      <c r="A497" s="264"/>
      <c r="B497" s="54"/>
      <c r="C497" s="108" t="s">
        <v>19</v>
      </c>
      <c r="D497" s="53"/>
      <c r="E497" s="93">
        <v>0.65</v>
      </c>
      <c r="F497" s="57"/>
      <c r="G497" s="57"/>
      <c r="H497" s="169"/>
      <c r="I497" s="62"/>
      <c r="J497" s="62"/>
      <c r="K497" s="249"/>
      <c r="L497" s="62"/>
      <c r="M497" s="62"/>
      <c r="N497" s="83"/>
      <c r="O497" s="37">
        <f>SUM(H498:H500)*E497</f>
        <v>738.59916</v>
      </c>
      <c r="Q497" s="62"/>
      <c r="R497" s="62"/>
      <c r="S497" s="13"/>
      <c r="T497" s="13"/>
      <c r="U497" s="13"/>
      <c r="V497" s="13"/>
      <c r="W497" s="13"/>
    </row>
    <row r="498" spans="1:18" s="13" customFormat="1" ht="12.75">
      <c r="A498" s="264"/>
      <c r="B498" s="94">
        <v>1</v>
      </c>
      <c r="C498" s="95" t="s">
        <v>276</v>
      </c>
      <c r="D498" s="94" t="s">
        <v>21</v>
      </c>
      <c r="E498" s="109">
        <v>164</v>
      </c>
      <c r="F498" s="261">
        <f>E498*F495</f>
        <v>9.84</v>
      </c>
      <c r="G498" s="46">
        <v>83.49</v>
      </c>
      <c r="H498" s="178">
        <f>PRODUCT(F498,G498)</f>
        <v>821.5415999999999</v>
      </c>
      <c r="I498" s="62"/>
      <c r="J498" s="62"/>
      <c r="K498" s="62"/>
      <c r="L498" s="249">
        <f>SUM(H498)</f>
        <v>821.5415999999999</v>
      </c>
      <c r="M498" s="62"/>
      <c r="N498" s="83"/>
      <c r="O498" s="62"/>
      <c r="P498"/>
      <c r="Q498" s="62"/>
      <c r="R498" s="62"/>
    </row>
    <row r="499" spans="1:23" ht="12.75">
      <c r="A499" s="264"/>
      <c r="B499" s="69"/>
      <c r="C499" s="95" t="s">
        <v>22</v>
      </c>
      <c r="D499" s="94"/>
      <c r="E499" s="109">
        <v>4.2</v>
      </c>
      <c r="F499" s="261"/>
      <c r="G499" s="57"/>
      <c r="H499" s="271"/>
      <c r="I499" s="62"/>
      <c r="J499" s="62"/>
      <c r="K499" s="249">
        <f>SUM(H498:H500)*E496</f>
        <v>1014.7216151999999</v>
      </c>
      <c r="L499" s="62"/>
      <c r="M499" s="62"/>
      <c r="N499" s="83"/>
      <c r="O499" s="37"/>
      <c r="Q499" s="62"/>
      <c r="R499" s="62"/>
      <c r="S499" s="13"/>
      <c r="T499" s="13"/>
      <c r="U499" s="13"/>
      <c r="V499" s="13"/>
      <c r="W499" s="13"/>
    </row>
    <row r="500" spans="1:23" ht="12.75">
      <c r="A500" s="264"/>
      <c r="B500" s="94">
        <v>2</v>
      </c>
      <c r="C500" s="95" t="s">
        <v>23</v>
      </c>
      <c r="D500" s="94" t="s">
        <v>21</v>
      </c>
      <c r="E500" s="109">
        <f>60.1-E502</f>
        <v>58.550000000000004</v>
      </c>
      <c r="F500" s="261">
        <f>E500*F495</f>
        <v>3.5130000000000003</v>
      </c>
      <c r="G500" s="57">
        <v>89.6</v>
      </c>
      <c r="H500" s="178">
        <f>PRODUCT(F500,G500)</f>
        <v>314.76480000000004</v>
      </c>
      <c r="I500" s="62"/>
      <c r="J500" s="62"/>
      <c r="K500" s="62"/>
      <c r="L500" s="62"/>
      <c r="M500" s="249">
        <f>SUM(H500)</f>
        <v>314.76480000000004</v>
      </c>
      <c r="N500" s="83"/>
      <c r="O500" s="62"/>
      <c r="Q500" s="62"/>
      <c r="R500" s="62"/>
      <c r="S500" s="13"/>
      <c r="T500" s="13"/>
      <c r="U500" s="13"/>
      <c r="V500" s="13"/>
      <c r="W500" s="13"/>
    </row>
    <row r="501" spans="1:23" ht="12.75">
      <c r="A501" s="264"/>
      <c r="B501" s="94">
        <v>3</v>
      </c>
      <c r="C501" s="95" t="s">
        <v>24</v>
      </c>
      <c r="D501" s="94"/>
      <c r="E501" s="109"/>
      <c r="F501" s="261"/>
      <c r="G501" s="57"/>
      <c r="H501" s="271"/>
      <c r="I501" s="249">
        <f>SUM(H502:H504)</f>
        <v>560.14734</v>
      </c>
      <c r="J501" s="62"/>
      <c r="K501" s="62"/>
      <c r="L501" s="62"/>
      <c r="M501" s="62"/>
      <c r="N501" s="83"/>
      <c r="O501" s="62"/>
      <c r="Q501" s="62"/>
      <c r="R501" s="62"/>
      <c r="S501" s="13"/>
      <c r="T501" s="13"/>
      <c r="U501" s="13"/>
      <c r="V501" s="13"/>
      <c r="W501" s="13"/>
    </row>
    <row r="502" spans="1:23" ht="12.75">
      <c r="A502" s="264"/>
      <c r="B502" s="94">
        <v>400002</v>
      </c>
      <c r="C502" s="95" t="s">
        <v>278</v>
      </c>
      <c r="D502" s="94" t="s">
        <v>26</v>
      </c>
      <c r="E502" s="109">
        <v>1.55</v>
      </c>
      <c r="F502" s="261">
        <f>E502*F495</f>
        <v>0.093</v>
      </c>
      <c r="G502" s="57">
        <v>444.37</v>
      </c>
      <c r="H502" s="178">
        <f>PRODUCT(F502,G502)</f>
        <v>41.32641</v>
      </c>
      <c r="I502" s="62"/>
      <c r="J502" s="62"/>
      <c r="K502" s="62"/>
      <c r="L502" s="62"/>
      <c r="M502" s="62"/>
      <c r="N502" s="83"/>
      <c r="O502" s="62"/>
      <c r="Q502" s="62"/>
      <c r="R502" s="62"/>
      <c r="S502" s="13"/>
      <c r="T502" s="13"/>
      <c r="U502" s="13"/>
      <c r="V502" s="13"/>
      <c r="W502" s="13"/>
    </row>
    <row r="503" spans="1:23" ht="12.75">
      <c r="A503" s="264"/>
      <c r="B503" s="94">
        <v>21102</v>
      </c>
      <c r="C503" s="95" t="s">
        <v>321</v>
      </c>
      <c r="D503" s="94" t="s">
        <v>26</v>
      </c>
      <c r="E503" s="109">
        <v>1.55</v>
      </c>
      <c r="F503" s="261">
        <f>E503*F495</f>
        <v>0.093</v>
      </c>
      <c r="G503" s="57">
        <v>491.01</v>
      </c>
      <c r="H503" s="178">
        <f>PRODUCT(F503,G503)</f>
        <v>45.66393</v>
      </c>
      <c r="I503" s="62"/>
      <c r="J503" s="62"/>
      <c r="K503" s="62"/>
      <c r="L503" s="62"/>
      <c r="M503" s="62"/>
      <c r="N503" s="83"/>
      <c r="O503" s="62"/>
      <c r="Q503" s="62"/>
      <c r="R503" s="13"/>
      <c r="S503" s="13"/>
      <c r="T503" s="13"/>
      <c r="U503" s="13"/>
      <c r="V503" s="13"/>
      <c r="W503" s="13"/>
    </row>
    <row r="504" spans="1:23" ht="12.75">
      <c r="A504" s="264"/>
      <c r="B504" s="94">
        <v>30902</v>
      </c>
      <c r="C504" s="95" t="s">
        <v>322</v>
      </c>
      <c r="D504" s="94" t="s">
        <v>26</v>
      </c>
      <c r="E504" s="109">
        <v>57</v>
      </c>
      <c r="F504" s="261">
        <f>E504*F495</f>
        <v>3.42</v>
      </c>
      <c r="G504" s="57">
        <v>138.35</v>
      </c>
      <c r="H504" s="178">
        <f>PRODUCT(F504,G504)</f>
        <v>473.157</v>
      </c>
      <c r="I504" s="62"/>
      <c r="J504" s="249"/>
      <c r="K504" s="62"/>
      <c r="L504" s="62"/>
      <c r="M504" s="62"/>
      <c r="N504" s="83"/>
      <c r="O504" s="62"/>
      <c r="Q504" s="62"/>
      <c r="R504" s="13"/>
      <c r="S504" s="13"/>
      <c r="T504" s="13"/>
      <c r="U504" s="13"/>
      <c r="V504" s="13"/>
      <c r="W504" s="13"/>
    </row>
    <row r="505" spans="1:23" ht="12.75">
      <c r="A505" s="264"/>
      <c r="B505" s="94">
        <v>4</v>
      </c>
      <c r="C505" s="95" t="s">
        <v>27</v>
      </c>
      <c r="D505" s="94"/>
      <c r="E505" s="109"/>
      <c r="F505" s="261"/>
      <c r="G505" s="57"/>
      <c r="H505" s="178"/>
      <c r="I505" s="62"/>
      <c r="J505" s="249">
        <f>SUM(H506:H512)</f>
        <v>3809.334</v>
      </c>
      <c r="K505" s="249"/>
      <c r="L505" s="62"/>
      <c r="M505" s="62"/>
      <c r="N505" s="83"/>
      <c r="O505" s="62"/>
      <c r="Q505" s="62"/>
      <c r="R505" s="13"/>
      <c r="S505" s="13"/>
      <c r="T505" s="13"/>
      <c r="U505" s="13"/>
      <c r="V505" s="13"/>
      <c r="W505" s="13"/>
    </row>
    <row r="506" spans="1:23" ht="12.75">
      <c r="A506" s="264"/>
      <c r="B506" s="94" t="s">
        <v>306</v>
      </c>
      <c r="C506" s="95" t="s">
        <v>323</v>
      </c>
      <c r="D506" s="94" t="s">
        <v>72</v>
      </c>
      <c r="E506" s="109">
        <v>0.42</v>
      </c>
      <c r="F506" s="261">
        <f>E506*F495</f>
        <v>0.025199999999999997</v>
      </c>
      <c r="G506" s="57">
        <v>150</v>
      </c>
      <c r="H506" s="178">
        <f aca="true" t="shared" si="8" ref="H506:H514">PRODUCT(F506,G506)</f>
        <v>3.7799999999999994</v>
      </c>
      <c r="I506" s="62"/>
      <c r="J506" s="62"/>
      <c r="K506" s="249"/>
      <c r="L506" s="62"/>
      <c r="M506" s="62"/>
      <c r="N506" s="83"/>
      <c r="O506" s="62"/>
      <c r="Q506" s="13"/>
      <c r="R506" s="13"/>
      <c r="S506" s="13"/>
      <c r="T506" s="13"/>
      <c r="U506" s="13"/>
      <c r="V506" s="13"/>
      <c r="W506" s="13"/>
    </row>
    <row r="507" spans="1:23" ht="12.75">
      <c r="A507" s="264"/>
      <c r="B507" s="94" t="s">
        <v>324</v>
      </c>
      <c r="C507" s="95" t="s">
        <v>325</v>
      </c>
      <c r="D507" s="94" t="s">
        <v>170</v>
      </c>
      <c r="E507" s="109">
        <v>0.1</v>
      </c>
      <c r="F507" s="261">
        <f>E507*F495</f>
        <v>0.006</v>
      </c>
      <c r="G507" s="57">
        <v>100</v>
      </c>
      <c r="H507" s="178">
        <f t="shared" si="8"/>
        <v>0.6</v>
      </c>
      <c r="I507" s="62"/>
      <c r="J507" s="62"/>
      <c r="K507" s="249"/>
      <c r="L507" s="62"/>
      <c r="M507" s="62"/>
      <c r="N507" s="83"/>
      <c r="O507" s="62"/>
      <c r="Q507" s="62"/>
      <c r="R507" s="62"/>
      <c r="S507" s="13"/>
      <c r="T507" s="13"/>
      <c r="U507" s="13"/>
      <c r="V507" s="13"/>
      <c r="W507" s="13"/>
    </row>
    <row r="508" spans="1:23" ht="12.75">
      <c r="A508" s="264"/>
      <c r="B508" s="94" t="s">
        <v>326</v>
      </c>
      <c r="C508" s="95" t="s">
        <v>327</v>
      </c>
      <c r="D508" s="94" t="s">
        <v>328</v>
      </c>
      <c r="E508" s="109">
        <v>0.053</v>
      </c>
      <c r="F508" s="261">
        <f>E508*F495</f>
        <v>0.0031799999999999997</v>
      </c>
      <c r="G508" s="57">
        <v>300</v>
      </c>
      <c r="H508" s="178">
        <f t="shared" si="8"/>
        <v>0.9539999999999998</v>
      </c>
      <c r="I508" s="62"/>
      <c r="J508" s="62"/>
      <c r="K508" s="249"/>
      <c r="L508" s="62"/>
      <c r="M508" s="62"/>
      <c r="N508" s="83"/>
      <c r="O508" s="62"/>
      <c r="Q508" s="62"/>
      <c r="R508" s="62"/>
      <c r="S508" s="13"/>
      <c r="T508" s="13"/>
      <c r="U508" s="13"/>
      <c r="V508" s="13"/>
      <c r="W508" s="13"/>
    </row>
    <row r="509" spans="1:23" ht="12.75">
      <c r="A509" s="264"/>
      <c r="B509" s="94" t="s">
        <v>329</v>
      </c>
      <c r="C509" s="95" t="s">
        <v>330</v>
      </c>
      <c r="D509" s="94" t="s">
        <v>35</v>
      </c>
      <c r="E509" s="109">
        <v>0.003</v>
      </c>
      <c r="F509" s="261">
        <f>E509*F495</f>
        <v>0.00017999999999999998</v>
      </c>
      <c r="G509" s="57">
        <v>80000</v>
      </c>
      <c r="H509" s="178">
        <f t="shared" si="8"/>
        <v>14.399999999999999</v>
      </c>
      <c r="I509" s="83"/>
      <c r="J509" s="83"/>
      <c r="K509" s="83"/>
      <c r="L509" s="84"/>
      <c r="M509" s="83"/>
      <c r="N509" s="83"/>
      <c r="O509" s="62"/>
      <c r="Q509" s="13"/>
      <c r="R509" s="13"/>
      <c r="S509" s="13"/>
      <c r="T509" s="13"/>
      <c r="U509" s="13"/>
      <c r="V509" s="13"/>
      <c r="W509" s="13"/>
    </row>
    <row r="510" spans="1:23" ht="12.75">
      <c r="A510" s="264"/>
      <c r="B510" s="94"/>
      <c r="C510" s="95" t="s">
        <v>331</v>
      </c>
      <c r="D510" s="94" t="s">
        <v>332</v>
      </c>
      <c r="E510" s="109" t="s">
        <v>122</v>
      </c>
      <c r="F510" s="261">
        <f>F495*400</f>
        <v>24</v>
      </c>
      <c r="G510" s="57">
        <v>19.8</v>
      </c>
      <c r="H510" s="178">
        <f t="shared" si="8"/>
        <v>475.20000000000005</v>
      </c>
      <c r="I510" s="83"/>
      <c r="J510" s="83"/>
      <c r="K510" s="83"/>
      <c r="L510" s="84"/>
      <c r="M510" s="83"/>
      <c r="N510" s="83"/>
      <c r="O510" s="62"/>
      <c r="Q510" s="13"/>
      <c r="R510" s="13"/>
      <c r="S510" s="13"/>
      <c r="T510" s="13"/>
      <c r="U510" s="13"/>
      <c r="V510" s="13"/>
      <c r="W510" s="13"/>
    </row>
    <row r="511" spans="1:23" ht="12.75">
      <c r="A511" s="264"/>
      <c r="B511" s="94"/>
      <c r="C511" s="95" t="s">
        <v>333</v>
      </c>
      <c r="D511" s="94" t="s">
        <v>332</v>
      </c>
      <c r="E511" s="109" t="s">
        <v>122</v>
      </c>
      <c r="F511" s="261">
        <f>F495*200</f>
        <v>12</v>
      </c>
      <c r="G511" s="57">
        <v>7.2</v>
      </c>
      <c r="H511" s="178">
        <f t="shared" si="8"/>
        <v>86.4</v>
      </c>
      <c r="I511" s="83"/>
      <c r="J511" s="83"/>
      <c r="K511" s="83"/>
      <c r="L511" s="84"/>
      <c r="M511" s="83"/>
      <c r="N511" s="83"/>
      <c r="O511" s="62"/>
      <c r="Q511" s="13"/>
      <c r="R511" s="13"/>
      <c r="S511" s="13"/>
      <c r="T511" s="13"/>
      <c r="U511" s="13"/>
      <c r="V511" s="13"/>
      <c r="W511" s="13"/>
    </row>
    <row r="512" spans="1:23" s="272" customFormat="1" ht="12.75">
      <c r="A512" s="264"/>
      <c r="B512" s="94"/>
      <c r="C512" s="95" t="s">
        <v>334</v>
      </c>
      <c r="D512" s="94" t="s">
        <v>332</v>
      </c>
      <c r="E512" s="109" t="s">
        <v>122</v>
      </c>
      <c r="F512" s="261">
        <f>F495*100</f>
        <v>6</v>
      </c>
      <c r="G512" s="57">
        <v>538</v>
      </c>
      <c r="H512" s="178">
        <f t="shared" si="8"/>
        <v>3228</v>
      </c>
      <c r="I512" s="62"/>
      <c r="J512" s="62"/>
      <c r="K512" s="249"/>
      <c r="L512" s="62"/>
      <c r="M512" s="62"/>
      <c r="N512" s="83"/>
      <c r="O512" s="62"/>
      <c r="P512"/>
      <c r="Q512" s="13"/>
      <c r="R512" s="13"/>
      <c r="S512" s="13"/>
      <c r="T512" s="13"/>
      <c r="U512" s="13"/>
      <c r="V512" s="13"/>
      <c r="W512" s="13"/>
    </row>
    <row r="513" spans="1:13" ht="12.75">
      <c r="A513" s="44">
        <v>0</v>
      </c>
      <c r="B513" s="38" t="s">
        <v>335</v>
      </c>
      <c r="C513" s="110" t="s">
        <v>336</v>
      </c>
      <c r="D513" s="38" t="s">
        <v>35</v>
      </c>
      <c r="E513" s="273"/>
      <c r="F513" s="111">
        <f>N517</f>
        <v>2.4334800000000003</v>
      </c>
      <c r="G513" s="46">
        <v>11.92</v>
      </c>
      <c r="H513" s="274">
        <f t="shared" si="8"/>
        <v>29.007081600000003</v>
      </c>
      <c r="I513" s="275">
        <f>SUM(H513)</f>
        <v>29.007081600000003</v>
      </c>
      <c r="K513" s="276"/>
      <c r="L513" s="276"/>
      <c r="M513" s="276"/>
    </row>
    <row r="514" spans="1:13" ht="12.75">
      <c r="A514" s="44">
        <v>0</v>
      </c>
      <c r="B514" s="38" t="s">
        <v>335</v>
      </c>
      <c r="C514" s="110" t="s">
        <v>337</v>
      </c>
      <c r="D514" s="38" t="s">
        <v>35</v>
      </c>
      <c r="E514" s="45"/>
      <c r="F514" s="111">
        <f>N517</f>
        <v>2.4334800000000003</v>
      </c>
      <c r="G514" s="46">
        <v>111.51</v>
      </c>
      <c r="H514" s="274">
        <f t="shared" si="8"/>
        <v>271.35735480000005</v>
      </c>
      <c r="I514" s="275">
        <f>SUM(H514)</f>
        <v>271.35735480000005</v>
      </c>
      <c r="J514" s="275"/>
      <c r="K514" s="275"/>
      <c r="L514" s="275"/>
      <c r="M514" s="276"/>
    </row>
    <row r="515" spans="1:13" ht="13.5" thickBot="1">
      <c r="A515" s="277"/>
      <c r="B515" s="278"/>
      <c r="C515" s="279"/>
      <c r="D515" s="278"/>
      <c r="E515" s="280"/>
      <c r="F515" s="281"/>
      <c r="G515" s="282"/>
      <c r="H515" s="283"/>
      <c r="I515" s="276"/>
      <c r="J515" s="276"/>
      <c r="K515" s="276"/>
      <c r="L515" s="276"/>
      <c r="M515" s="276"/>
    </row>
    <row r="516" spans="1:13" ht="12.75">
      <c r="A516" s="13"/>
      <c r="B516" s="13"/>
      <c r="C516" s="13"/>
      <c r="D516" s="13"/>
      <c r="E516" s="13"/>
      <c r="F516" s="13"/>
      <c r="G516" s="13"/>
      <c r="H516" s="181"/>
      <c r="I516" s="13"/>
      <c r="J516" s="13"/>
      <c r="K516" s="13"/>
      <c r="L516" s="13"/>
      <c r="M516" s="13"/>
    </row>
    <row r="517" spans="1:15" ht="12.75">
      <c r="A517" s="284" t="s">
        <v>338</v>
      </c>
      <c r="B517" s="13"/>
      <c r="C517" s="285"/>
      <c r="D517" s="13"/>
      <c r="E517" s="262"/>
      <c r="F517" s="262"/>
      <c r="G517" s="13"/>
      <c r="H517" s="262">
        <f>SUM(H22:H515)-M517</f>
        <v>303724.8258655122</v>
      </c>
      <c r="I517" s="137">
        <f aca="true" t="shared" si="9" ref="I517:O517">SUM(I22:I515)</f>
        <v>4473.1327228</v>
      </c>
      <c r="J517" s="137">
        <f t="shared" si="9"/>
        <v>252861.72935592805</v>
      </c>
      <c r="K517" s="137">
        <f t="shared" si="9"/>
        <v>44578.894789217644</v>
      </c>
      <c r="L517" s="137">
        <f t="shared" si="9"/>
        <v>46263.59802678399</v>
      </c>
      <c r="M517" s="137">
        <f t="shared" si="9"/>
        <v>1506.102528</v>
      </c>
      <c r="N517" s="137">
        <f t="shared" si="9"/>
        <v>2.4334800000000003</v>
      </c>
      <c r="O517" s="137">
        <f t="shared" si="9"/>
        <v>25810.000616502064</v>
      </c>
    </row>
    <row r="518" spans="1:15" ht="12.75">
      <c r="A518" s="13" t="s">
        <v>339</v>
      </c>
      <c r="B518" s="13"/>
      <c r="C518" s="13"/>
      <c r="D518" s="13"/>
      <c r="E518" s="13"/>
      <c r="F518" s="13"/>
      <c r="G518" s="13"/>
      <c r="H518" s="181">
        <f>SUM(L517)</f>
        <v>46263.59802678399</v>
      </c>
      <c r="I518" s="286" t="s">
        <v>340</v>
      </c>
      <c r="J518" s="286" t="s">
        <v>341</v>
      </c>
      <c r="K518" s="286" t="s">
        <v>342</v>
      </c>
      <c r="L518" s="286" t="s">
        <v>343</v>
      </c>
      <c r="M518" s="286" t="s">
        <v>344</v>
      </c>
      <c r="N518" s="287" t="s">
        <v>345</v>
      </c>
      <c r="O518" s="286" t="s">
        <v>346</v>
      </c>
    </row>
    <row r="519" spans="1:14" ht="12.75">
      <c r="A519" s="378" t="s">
        <v>387</v>
      </c>
      <c r="B519" s="13"/>
      <c r="C519" s="13"/>
      <c r="D519" s="13"/>
      <c r="E519" s="13"/>
      <c r="F519" s="13"/>
      <c r="G519" s="13"/>
      <c r="H519" s="181">
        <f>SUM(I517)</f>
        <v>4473.1327228</v>
      </c>
      <c r="I519" s="137"/>
      <c r="J519" s="13"/>
      <c r="K519" s="13"/>
      <c r="L519" s="13"/>
      <c r="M519" s="13"/>
      <c r="N519" s="276"/>
    </row>
    <row r="520" spans="1:14" ht="12.75">
      <c r="A520" s="13" t="s">
        <v>347</v>
      </c>
      <c r="B520" s="13"/>
      <c r="C520" s="13"/>
      <c r="D520" s="137"/>
      <c r="E520" s="137"/>
      <c r="F520" s="13"/>
      <c r="G520" s="137"/>
      <c r="H520" s="181">
        <f>SUM(J517)</f>
        <v>252861.72935592805</v>
      </c>
      <c r="I520" s="137"/>
      <c r="J520" s="13"/>
      <c r="K520" s="13"/>
      <c r="L520" s="13"/>
      <c r="M520" s="13"/>
      <c r="N520" s="276"/>
    </row>
    <row r="521" spans="1:14" ht="12.75">
      <c r="A521" s="13" t="s">
        <v>348</v>
      </c>
      <c r="B521" s="13"/>
      <c r="C521" s="13"/>
      <c r="D521" s="13"/>
      <c r="E521" s="13"/>
      <c r="F521" s="13"/>
      <c r="G521" s="13"/>
      <c r="H521" s="181">
        <f>SUM(K517)</f>
        <v>44578.894789217644</v>
      </c>
      <c r="I521" s="137"/>
      <c r="J521" s="137"/>
      <c r="K521" s="13"/>
      <c r="L521" s="13"/>
      <c r="M521" s="13"/>
      <c r="N521" s="276"/>
    </row>
    <row r="522" spans="1:14" ht="12.75">
      <c r="A522" s="13" t="s">
        <v>349</v>
      </c>
      <c r="B522" s="13"/>
      <c r="C522" s="13"/>
      <c r="D522" s="13"/>
      <c r="E522" s="13"/>
      <c r="F522" s="13"/>
      <c r="G522" s="13"/>
      <c r="H522" s="181">
        <f>SUM(O517)</f>
        <v>25810.000616502064</v>
      </c>
      <c r="I522" s="13"/>
      <c r="J522" s="137"/>
      <c r="K522" s="13"/>
      <c r="L522" s="13"/>
      <c r="M522" s="13"/>
      <c r="N522" s="276"/>
    </row>
    <row r="523" spans="1:14" ht="12.75">
      <c r="A523" s="13" t="s">
        <v>350</v>
      </c>
      <c r="B523" s="13"/>
      <c r="C523" s="13"/>
      <c r="D523" s="13"/>
      <c r="E523" s="13"/>
      <c r="F523" s="13"/>
      <c r="G523" s="13"/>
      <c r="H523" s="181">
        <f>J517*0.02</f>
        <v>5057.234587118561</v>
      </c>
      <c r="I523" s="13"/>
      <c r="J523" s="13"/>
      <c r="K523" s="13"/>
      <c r="L523" s="13"/>
      <c r="M523" s="13"/>
      <c r="N523" s="276"/>
    </row>
    <row r="524" spans="1:14" ht="12.75">
      <c r="A524" s="288" t="s">
        <v>351</v>
      </c>
      <c r="B524" s="1"/>
      <c r="C524" s="1"/>
      <c r="D524" s="1"/>
      <c r="E524" s="1"/>
      <c r="F524" s="13"/>
      <c r="G524" s="1"/>
      <c r="H524" s="289">
        <f>SUM(H518:H523)</f>
        <v>379044.5900983503</v>
      </c>
      <c r="I524" s="13"/>
      <c r="J524" s="290"/>
      <c r="K524" s="291"/>
      <c r="L524" s="292"/>
      <c r="M524" s="13"/>
      <c r="N524" s="276"/>
    </row>
    <row r="525" spans="1:14" ht="12.75">
      <c r="A525" s="1" t="s">
        <v>352</v>
      </c>
      <c r="B525" s="1"/>
      <c r="C525" s="1"/>
      <c r="D525" s="1"/>
      <c r="E525" s="1"/>
      <c r="F525" s="13"/>
      <c r="G525" s="1"/>
      <c r="H525" s="293">
        <f>H524*0.0141*1.11</f>
        <v>5932.426879629281</v>
      </c>
      <c r="I525" s="13"/>
      <c r="J525" s="13"/>
      <c r="K525" s="137"/>
      <c r="L525" s="13"/>
      <c r="M525" s="13"/>
      <c r="N525" s="137"/>
    </row>
    <row r="526" spans="1:14" ht="12.75">
      <c r="A526" s="288" t="s">
        <v>351</v>
      </c>
      <c r="B526" s="1"/>
      <c r="C526" s="1"/>
      <c r="D526" s="1"/>
      <c r="E526" s="1"/>
      <c r="F526" s="13"/>
      <c r="G526" s="1"/>
      <c r="H526" s="289">
        <f>SUM(H524:H525)</f>
        <v>384977.01697797957</v>
      </c>
      <c r="I526" s="13"/>
      <c r="J526" s="13"/>
      <c r="K526" s="294"/>
      <c r="L526" s="13"/>
      <c r="M526" s="13"/>
      <c r="N526" s="286"/>
    </row>
    <row r="527" spans="1:14" ht="12.75">
      <c r="A527" s="1" t="s">
        <v>353</v>
      </c>
      <c r="B527" s="1"/>
      <c r="C527" s="1"/>
      <c r="D527" s="1"/>
      <c r="E527" s="1"/>
      <c r="F527" s="13"/>
      <c r="G527" s="1"/>
      <c r="H527" s="295">
        <f>H526*0.02</f>
        <v>7699.540339559591</v>
      </c>
      <c r="I527" s="13"/>
      <c r="J527" s="13"/>
      <c r="K527" s="294"/>
      <c r="L527" s="13"/>
      <c r="M527" s="13"/>
      <c r="N527" s="286"/>
    </row>
    <row r="528" spans="1:14" ht="12.75">
      <c r="A528" s="288" t="s">
        <v>351</v>
      </c>
      <c r="B528" s="1"/>
      <c r="C528" s="1"/>
      <c r="D528" s="1"/>
      <c r="E528" s="1"/>
      <c r="F528" s="13"/>
      <c r="G528" s="1"/>
      <c r="H528" s="289">
        <f>SUM(H526:H527)</f>
        <v>392676.5573175392</v>
      </c>
      <c r="I528" s="13"/>
      <c r="J528" s="13"/>
      <c r="K528" s="294"/>
      <c r="L528" s="13"/>
      <c r="M528" s="13"/>
      <c r="N528" s="286"/>
    </row>
    <row r="529" spans="1:14" ht="12.75">
      <c r="A529" s="1" t="s">
        <v>354</v>
      </c>
      <c r="B529" s="1"/>
      <c r="C529" s="1"/>
      <c r="D529" s="1"/>
      <c r="E529" s="1"/>
      <c r="F529" s="13"/>
      <c r="G529" s="1"/>
      <c r="H529" s="295">
        <f>H528*0.18</f>
        <v>70681.78031715706</v>
      </c>
      <c r="I529" s="13"/>
      <c r="J529" s="13"/>
      <c r="K529" s="13"/>
      <c r="L529" s="13"/>
      <c r="M529" s="13"/>
      <c r="N529" s="137"/>
    </row>
    <row r="530" spans="1:14" ht="12.75">
      <c r="A530" s="288" t="s">
        <v>355</v>
      </c>
      <c r="B530" s="1"/>
      <c r="C530" s="1"/>
      <c r="D530" s="1"/>
      <c r="E530" s="1"/>
      <c r="F530" s="13"/>
      <c r="G530" s="1"/>
      <c r="H530" s="289">
        <f>SUM(H528:H529)</f>
        <v>463358.3376346962</v>
      </c>
      <c r="I530" s="296"/>
      <c r="J530" s="297"/>
      <c r="N530" s="137"/>
    </row>
    <row r="531" spans="1:14" ht="12.75">
      <c r="A531" s="298"/>
      <c r="B531" s="298"/>
      <c r="C531" s="298"/>
      <c r="D531" s="298"/>
      <c r="E531" s="298"/>
      <c r="F531" s="298"/>
      <c r="G531" s="298"/>
      <c r="H531" s="299"/>
      <c r="N531" s="13"/>
    </row>
    <row r="532" spans="1:14" ht="12.75">
      <c r="A532" s="298"/>
      <c r="B532" s="298"/>
      <c r="C532" s="298"/>
      <c r="D532" s="298"/>
      <c r="E532" s="298"/>
      <c r="F532" s="298"/>
      <c r="G532" s="298"/>
      <c r="H532" s="299"/>
      <c r="N532" s="13"/>
    </row>
    <row r="533" spans="1:14" ht="12.75">
      <c r="A533" s="298"/>
      <c r="B533" s="298"/>
      <c r="C533" s="298"/>
      <c r="D533" s="298"/>
      <c r="E533" s="298"/>
      <c r="F533" s="298"/>
      <c r="G533" s="298"/>
      <c r="H533" s="299"/>
      <c r="N533" s="13"/>
    </row>
    <row r="534" spans="1:14" ht="12.75">
      <c r="A534" t="s">
        <v>356</v>
      </c>
      <c r="B534" s="298"/>
      <c r="C534" s="298"/>
      <c r="D534" s="298"/>
      <c r="E534" s="298"/>
      <c r="F534" s="298"/>
      <c r="G534" s="298"/>
      <c r="H534" s="299"/>
      <c r="N534" s="13"/>
    </row>
    <row r="535" spans="2:12" ht="12.75">
      <c r="B535" s="298"/>
      <c r="C535" s="298"/>
      <c r="D535" s="298"/>
      <c r="E535" s="298"/>
      <c r="F535" s="298"/>
      <c r="L535" s="13"/>
    </row>
    <row r="536" spans="1:12" ht="12.75">
      <c r="A536" s="4" t="s">
        <v>357</v>
      </c>
      <c r="B536" s="298"/>
      <c r="C536" s="298"/>
      <c r="D536" s="298"/>
      <c r="E536" s="298"/>
      <c r="F536" s="298"/>
      <c r="L536" s="13"/>
    </row>
    <row r="538" ht="12.75">
      <c r="A538" s="13" t="s">
        <v>358</v>
      </c>
    </row>
  </sheetData>
  <sheetProtection/>
  <mergeCells count="12">
    <mergeCell ref="A18:A19"/>
    <mergeCell ref="B18:B19"/>
    <mergeCell ref="C18:C19"/>
    <mergeCell ref="D18:D19"/>
    <mergeCell ref="E18:F18"/>
    <mergeCell ref="G18:H18"/>
    <mergeCell ref="F1:H1"/>
    <mergeCell ref="E2:H3"/>
    <mergeCell ref="E5:F5"/>
    <mergeCell ref="A11:H11"/>
    <mergeCell ref="A12:H12"/>
    <mergeCell ref="A13:H13"/>
  </mergeCells>
  <printOptions/>
  <pageMargins left="0.7874015748031497" right="0.35433070866141736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6"/>
  <sheetViews>
    <sheetView tabSelected="1" view="pageBreakPreview" zoomScale="111" zoomScaleSheetLayoutView="111" zoomScalePageLayoutView="0" workbookViewId="0" topLeftCell="A382">
      <selection activeCell="F419" sqref="F419"/>
    </sheetView>
  </sheetViews>
  <sheetFormatPr defaultColWidth="9.00390625" defaultRowHeight="12.75"/>
  <cols>
    <col min="1" max="1" width="5.875" style="7" customWidth="1"/>
    <col min="2" max="2" width="13.625" style="7" customWidth="1"/>
    <col min="3" max="3" width="33.875" style="7" customWidth="1"/>
    <col min="4" max="4" width="9.125" style="7" customWidth="1"/>
    <col min="5" max="5" width="9.375" style="7" bestFit="1" customWidth="1"/>
    <col min="6" max="6" width="8.875" style="7" customWidth="1"/>
    <col min="7" max="7" width="9.625" style="7" customWidth="1"/>
    <col min="8" max="8" width="11.625" style="7" customWidth="1"/>
    <col min="9" max="9" width="9.375" style="7" bestFit="1" customWidth="1"/>
    <col min="10" max="10" width="11.125" style="7" customWidth="1"/>
    <col min="11" max="11" width="11.625" style="7" customWidth="1"/>
    <col min="12" max="12" width="11.375" style="7" customWidth="1"/>
    <col min="13" max="14" width="9.375" style="7" bestFit="1" customWidth="1"/>
    <col min="15" max="15" width="9.75390625" style="7" customWidth="1"/>
    <col min="16" max="16384" width="9.125" style="7" customWidth="1"/>
  </cols>
  <sheetData>
    <row r="1" spans="5:8" ht="12.75">
      <c r="E1" s="1"/>
      <c r="F1" s="385" t="s">
        <v>0</v>
      </c>
      <c r="G1" s="385"/>
      <c r="H1" s="385"/>
    </row>
    <row r="2" spans="5:8" ht="12.75">
      <c r="E2" s="386"/>
      <c r="F2" s="386"/>
      <c r="G2" s="386"/>
      <c r="H2" s="386"/>
    </row>
    <row r="3" spans="5:8" ht="26.25" customHeight="1">
      <c r="E3" s="386"/>
      <c r="F3" s="386"/>
      <c r="G3" s="386"/>
      <c r="H3" s="386"/>
    </row>
    <row r="4" ht="12.75">
      <c r="H4" s="2"/>
    </row>
    <row r="5" spans="5:7" ht="15">
      <c r="E5" s="385" t="s">
        <v>1</v>
      </c>
      <c r="F5" s="385"/>
      <c r="G5" s="3"/>
    </row>
    <row r="6" spans="1:8" ht="12.75">
      <c r="A6" s="4"/>
      <c r="B6" s="5"/>
      <c r="C6" s="6"/>
      <c r="D6" s="5"/>
      <c r="E6" s="5"/>
      <c r="F6" s="5"/>
      <c r="G6" s="4"/>
      <c r="H6" s="4"/>
    </row>
    <row r="7" spans="1:8" ht="12.75">
      <c r="A7" s="4"/>
      <c r="B7" s="5"/>
      <c r="C7" s="6"/>
      <c r="D7" s="5"/>
      <c r="E7" s="5"/>
      <c r="F7" s="5"/>
      <c r="G7" s="4"/>
      <c r="H7" s="4"/>
    </row>
    <row r="8" spans="1:8" ht="12.75">
      <c r="A8" s="4"/>
      <c r="B8" s="5"/>
      <c r="C8" s="6"/>
      <c r="D8" s="5"/>
      <c r="E8" s="5"/>
      <c r="F8" s="5"/>
      <c r="G8" s="4"/>
      <c r="H8" s="4"/>
    </row>
    <row r="9" spans="1:8" ht="12.75">
      <c r="A9" s="5"/>
      <c r="B9" s="5"/>
      <c r="C9" s="6"/>
      <c r="D9" s="5"/>
      <c r="E9" s="5"/>
      <c r="F9" s="5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5.75">
      <c r="A11" s="387" t="s">
        <v>389</v>
      </c>
      <c r="B11" s="387"/>
      <c r="C11" s="387"/>
      <c r="D11" s="387"/>
      <c r="E11" s="387"/>
      <c r="F11" s="387"/>
      <c r="G11" s="387"/>
      <c r="H11" s="387"/>
    </row>
    <row r="12" spans="1:8" ht="31.5" customHeight="1">
      <c r="A12" s="399" t="s">
        <v>368</v>
      </c>
      <c r="B12" s="399"/>
      <c r="C12" s="399"/>
      <c r="D12" s="399"/>
      <c r="E12" s="399"/>
      <c r="F12" s="399"/>
      <c r="G12" s="399"/>
      <c r="H12" s="399"/>
    </row>
    <row r="13" spans="1:8" ht="12.75">
      <c r="A13" s="389"/>
      <c r="B13" s="389"/>
      <c r="C13" s="389"/>
      <c r="D13" s="389"/>
      <c r="E13" s="389"/>
      <c r="F13" s="389"/>
      <c r="G13" s="389"/>
      <c r="H13" s="389"/>
    </row>
    <row r="14" spans="1:19" ht="12.75">
      <c r="A14" s="8" t="s">
        <v>4</v>
      </c>
      <c r="B14" s="8"/>
      <c r="C14" s="8"/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8" t="s">
        <v>5</v>
      </c>
      <c r="B15" s="8"/>
      <c r="C15" s="8"/>
      <c r="D15" s="10">
        <f>H398/1000</f>
        <v>659.309131983377</v>
      </c>
      <c r="E15" s="8" t="s">
        <v>6</v>
      </c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8" t="s">
        <v>7</v>
      </c>
      <c r="B16" s="8"/>
      <c r="C16" s="8"/>
      <c r="D16" s="10">
        <f>H386/1000</f>
        <v>67.58393582228241</v>
      </c>
      <c r="E16" s="8" t="s">
        <v>6</v>
      </c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3.5" thickBot="1">
      <c r="A17" s="11" t="s">
        <v>367</v>
      </c>
      <c r="B17" s="8"/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4" ht="12.75">
      <c r="A18" s="390" t="s">
        <v>8</v>
      </c>
      <c r="B18" s="392" t="s">
        <v>9</v>
      </c>
      <c r="C18" s="394" t="s">
        <v>10</v>
      </c>
      <c r="D18" s="394" t="s">
        <v>11</v>
      </c>
      <c r="E18" s="396" t="s">
        <v>12</v>
      </c>
      <c r="F18" s="397"/>
      <c r="G18" s="396" t="s">
        <v>13</v>
      </c>
      <c r="H18" s="398"/>
      <c r="I18" s="12"/>
      <c r="J18" s="12"/>
      <c r="K18" s="12"/>
      <c r="L18" s="12"/>
      <c r="M18" s="12"/>
      <c r="N18" s="13"/>
    </row>
    <row r="19" spans="1:14" ht="13.5" thickBot="1">
      <c r="A19" s="391"/>
      <c r="B19" s="393"/>
      <c r="C19" s="395"/>
      <c r="D19" s="395"/>
      <c r="E19" s="14" t="s">
        <v>14</v>
      </c>
      <c r="F19" s="14" t="s">
        <v>15</v>
      </c>
      <c r="G19" s="14" t="s">
        <v>14</v>
      </c>
      <c r="H19" s="15" t="s">
        <v>15</v>
      </c>
      <c r="I19" s="13"/>
      <c r="J19" s="13"/>
      <c r="K19" s="13"/>
      <c r="L19" s="13"/>
      <c r="M19" s="13"/>
      <c r="N19" s="13"/>
    </row>
    <row r="20" spans="1:14" ht="13.5" thickBot="1">
      <c r="A20" s="16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8">
        <v>8</v>
      </c>
      <c r="I20" s="13"/>
      <c r="J20" s="13"/>
      <c r="K20" s="13"/>
      <c r="L20" s="13"/>
      <c r="M20" s="13"/>
      <c r="N20" s="13"/>
    </row>
    <row r="21" spans="1:14" ht="13.5" thickBot="1">
      <c r="A21" s="300"/>
      <c r="B21" s="301"/>
      <c r="C21" s="302" t="s">
        <v>366</v>
      </c>
      <c r="D21" s="301"/>
      <c r="E21" s="303"/>
      <c r="F21" s="304"/>
      <c r="G21" s="304"/>
      <c r="H21" s="305"/>
      <c r="I21" s="13"/>
      <c r="J21" s="13"/>
      <c r="K21" s="13"/>
      <c r="L21" s="13"/>
      <c r="M21" s="13"/>
      <c r="N21" s="13"/>
    </row>
    <row r="22" spans="1:14" s="27" customFormat="1" ht="63.75">
      <c r="A22" s="19">
        <v>1</v>
      </c>
      <c r="B22" s="20" t="s">
        <v>16</v>
      </c>
      <c r="C22" s="21" t="s">
        <v>17</v>
      </c>
      <c r="D22" s="20" t="s">
        <v>359</v>
      </c>
      <c r="E22" s="22"/>
      <c r="F22" s="23">
        <v>0.056</v>
      </c>
      <c r="G22" s="24"/>
      <c r="H22" s="25"/>
      <c r="I22" s="26"/>
      <c r="N22" s="28"/>
    </row>
    <row r="23" spans="1:22" s="13" customFormat="1" ht="12.75" customHeight="1">
      <c r="A23" s="29"/>
      <c r="B23" s="30"/>
      <c r="C23" s="31" t="s">
        <v>18</v>
      </c>
      <c r="D23" s="32"/>
      <c r="E23" s="33">
        <f>0.94*79%</f>
        <v>0.7426</v>
      </c>
      <c r="F23" s="34"/>
      <c r="G23" s="35"/>
      <c r="H23" s="36"/>
      <c r="I23" s="37"/>
      <c r="J23" s="1"/>
      <c r="K23" s="1"/>
      <c r="L23" s="37"/>
      <c r="M23" s="1"/>
      <c r="N23" s="1"/>
      <c r="O23"/>
      <c r="R23"/>
      <c r="S23"/>
      <c r="T23"/>
      <c r="U23"/>
      <c r="V23"/>
    </row>
    <row r="24" spans="1:22" s="13" customFormat="1" ht="12.75">
      <c r="A24" s="29"/>
      <c r="B24" s="32"/>
      <c r="C24" s="31" t="s">
        <v>19</v>
      </c>
      <c r="D24" s="38"/>
      <c r="E24" s="39">
        <v>0.5</v>
      </c>
      <c r="F24" s="34"/>
      <c r="G24" s="35"/>
      <c r="H24" s="40"/>
      <c r="I24" s="41"/>
      <c r="J24" s="41"/>
      <c r="K24" s="4"/>
      <c r="L24" s="4"/>
      <c r="M24" s="4"/>
      <c r="N24" s="42"/>
      <c r="O24" s="43">
        <f>SUM(H25:H27)*E24</f>
        <v>614.9494623999999</v>
      </c>
      <c r="R24"/>
      <c r="S24"/>
      <c r="T24"/>
      <c r="U24"/>
      <c r="V24"/>
    </row>
    <row r="25" spans="1:14" s="27" customFormat="1" ht="12.75">
      <c r="A25" s="44"/>
      <c r="B25" s="32">
        <v>1</v>
      </c>
      <c r="C25" s="31" t="s">
        <v>20</v>
      </c>
      <c r="D25" s="32" t="s">
        <v>21</v>
      </c>
      <c r="E25" s="45">
        <v>290.27</v>
      </c>
      <c r="F25" s="46">
        <f>E25*F22</f>
        <v>16.255119999999998</v>
      </c>
      <c r="G25" s="46">
        <v>75.44</v>
      </c>
      <c r="H25" s="36">
        <f>PRODUCT(F25,G25)</f>
        <v>1226.2862527999998</v>
      </c>
      <c r="I25" s="41"/>
      <c r="J25" s="41"/>
      <c r="K25" s="4"/>
      <c r="L25" s="43">
        <f>SUM(H25)</f>
        <v>1226.2862527999998</v>
      </c>
      <c r="M25" s="4"/>
      <c r="N25" s="47"/>
    </row>
    <row r="26" spans="1:14" s="27" customFormat="1" ht="12.75">
      <c r="A26" s="44"/>
      <c r="B26" s="48"/>
      <c r="C26" s="31" t="s">
        <v>22</v>
      </c>
      <c r="D26" s="32"/>
      <c r="E26" s="45">
        <v>3.4</v>
      </c>
      <c r="F26" s="46"/>
      <c r="G26" s="46"/>
      <c r="H26" s="36"/>
      <c r="I26" s="7"/>
      <c r="J26" s="7"/>
      <c r="K26" s="43">
        <f>SUM(H25:H27)*E23</f>
        <v>913.3229415564799</v>
      </c>
      <c r="L26" s="4"/>
      <c r="M26" s="4"/>
      <c r="N26" s="47"/>
    </row>
    <row r="27" spans="1:14" s="27" customFormat="1" ht="12.75">
      <c r="A27" s="44"/>
      <c r="B27" s="32">
        <v>2</v>
      </c>
      <c r="C27" s="31" t="s">
        <v>23</v>
      </c>
      <c r="D27" s="32" t="s">
        <v>21</v>
      </c>
      <c r="E27" s="45">
        <v>0.72</v>
      </c>
      <c r="F27" s="46">
        <f>E27*F22</f>
        <v>0.04032</v>
      </c>
      <c r="G27" s="34">
        <v>89.6</v>
      </c>
      <c r="H27" s="36">
        <f>PRODUCT(F27,G27)</f>
        <v>3.612672</v>
      </c>
      <c r="I27" s="7"/>
      <c r="J27" s="7"/>
      <c r="K27" s="4"/>
      <c r="L27" s="4"/>
      <c r="M27" s="43">
        <f>SUM(H27)</f>
        <v>3.612672</v>
      </c>
      <c r="N27" s="47"/>
    </row>
    <row r="28" spans="1:14" s="27" customFormat="1" ht="12.75">
      <c r="A28" s="44"/>
      <c r="B28" s="32">
        <v>3</v>
      </c>
      <c r="C28" s="31" t="s">
        <v>24</v>
      </c>
      <c r="D28" s="32"/>
      <c r="E28" s="45"/>
      <c r="F28" s="46"/>
      <c r="G28" s="34"/>
      <c r="H28" s="36"/>
      <c r="I28" s="49">
        <f>SUM(H29)</f>
        <v>9.760665600000001</v>
      </c>
      <c r="K28" s="47"/>
      <c r="L28" s="47"/>
      <c r="M28" s="50"/>
      <c r="N28" s="47"/>
    </row>
    <row r="29" spans="1:15" s="27" customFormat="1" ht="12.75">
      <c r="A29" s="44"/>
      <c r="B29" s="32">
        <v>31121</v>
      </c>
      <c r="C29" s="31" t="s">
        <v>25</v>
      </c>
      <c r="D29" s="32" t="s">
        <v>26</v>
      </c>
      <c r="E29" s="45">
        <v>0.72</v>
      </c>
      <c r="F29" s="46">
        <f>E29*F22</f>
        <v>0.04032</v>
      </c>
      <c r="G29" s="46">
        <v>242.08</v>
      </c>
      <c r="H29" s="36">
        <f>PRODUCT(F29,G29)</f>
        <v>9.760665600000001</v>
      </c>
      <c r="I29" s="26"/>
      <c r="O29" s="51"/>
    </row>
    <row r="30" spans="1:15" s="27" customFormat="1" ht="12.75">
      <c r="A30" s="44"/>
      <c r="B30" s="32">
        <v>4</v>
      </c>
      <c r="C30" s="31" t="s">
        <v>27</v>
      </c>
      <c r="D30" s="32"/>
      <c r="E30" s="45"/>
      <c r="F30" s="46"/>
      <c r="G30" s="46"/>
      <c r="H30" s="36"/>
      <c r="J30" s="49">
        <f>SUM(H31:H33)</f>
        <v>398.2593384</v>
      </c>
      <c r="O30" s="51"/>
    </row>
    <row r="31" spans="1:15" s="27" customFormat="1" ht="25.5">
      <c r="A31" s="44"/>
      <c r="B31" s="32" t="s">
        <v>28</v>
      </c>
      <c r="C31" s="31" t="s">
        <v>29</v>
      </c>
      <c r="D31" s="32" t="s">
        <v>30</v>
      </c>
      <c r="E31" s="45">
        <v>2.31</v>
      </c>
      <c r="F31" s="46">
        <f>E31*F22</f>
        <v>0.12936</v>
      </c>
      <c r="G31" s="46">
        <v>3078.69</v>
      </c>
      <c r="H31" s="36">
        <f>PRODUCT(F31,G31)</f>
        <v>398.2593384</v>
      </c>
      <c r="O31" s="51"/>
    </row>
    <row r="32" spans="1:15" s="27" customFormat="1" ht="12.75">
      <c r="A32" s="44"/>
      <c r="B32" s="32" t="s">
        <v>31</v>
      </c>
      <c r="C32" s="31" t="s">
        <v>32</v>
      </c>
      <c r="D32" s="32" t="s">
        <v>30</v>
      </c>
      <c r="E32" s="45">
        <v>0.35</v>
      </c>
      <c r="F32" s="46">
        <f>E32*F22</f>
        <v>0.0196</v>
      </c>
      <c r="G32" s="46">
        <v>0</v>
      </c>
      <c r="H32" s="36">
        <f>PRODUCT(F32,G32)</f>
        <v>0</v>
      </c>
      <c r="J32" s="26"/>
      <c r="O32" s="51"/>
    </row>
    <row r="33" spans="1:15" s="27" customFormat="1" ht="12.75">
      <c r="A33" s="44"/>
      <c r="B33" s="32" t="s">
        <v>33</v>
      </c>
      <c r="C33" s="31" t="s">
        <v>34</v>
      </c>
      <c r="D33" s="32" t="s">
        <v>35</v>
      </c>
      <c r="E33" s="45">
        <v>3.38</v>
      </c>
      <c r="F33" s="46">
        <f>E33*F22</f>
        <v>0.18928</v>
      </c>
      <c r="G33" s="46">
        <v>0</v>
      </c>
      <c r="H33" s="36">
        <f>PRODUCT(F33,G33)</f>
        <v>0</v>
      </c>
      <c r="N33" s="27">
        <f>F33</f>
        <v>0.18928</v>
      </c>
      <c r="O33" s="51"/>
    </row>
    <row r="34" spans="1:16" ht="25.5">
      <c r="A34" s="52">
        <v>2</v>
      </c>
      <c r="B34" s="53" t="s">
        <v>36</v>
      </c>
      <c r="C34" s="54" t="s">
        <v>37</v>
      </c>
      <c r="D34" s="38" t="s">
        <v>359</v>
      </c>
      <c r="E34" s="55"/>
      <c r="F34" s="56">
        <v>0.84</v>
      </c>
      <c r="G34" s="57"/>
      <c r="H34" s="36"/>
      <c r="P34"/>
    </row>
    <row r="35" spans="1:16" s="13" customFormat="1" ht="12.75">
      <c r="A35" s="58"/>
      <c r="B35" s="30" t="s">
        <v>38</v>
      </c>
      <c r="C35" s="31" t="s">
        <v>18</v>
      </c>
      <c r="D35" s="32"/>
      <c r="E35" s="33">
        <f>0.94*106.2%</f>
        <v>0.99828</v>
      </c>
      <c r="F35" s="59"/>
      <c r="G35" s="60"/>
      <c r="H35" s="61"/>
      <c r="I35" s="62"/>
      <c r="J35" s="62"/>
      <c r="K35" s="62"/>
      <c r="L35" s="62"/>
      <c r="M35" s="62"/>
      <c r="N35" s="62"/>
      <c r="O35" s="62"/>
      <c r="P35" s="62"/>
    </row>
    <row r="36" spans="1:16" s="13" customFormat="1" ht="12.75">
      <c r="A36" s="58"/>
      <c r="B36" s="32" t="s">
        <v>39</v>
      </c>
      <c r="C36" s="31" t="s">
        <v>19</v>
      </c>
      <c r="D36" s="38"/>
      <c r="E36" s="33">
        <v>0.5355</v>
      </c>
      <c r="F36" s="63"/>
      <c r="G36" s="46"/>
      <c r="H36" s="40"/>
      <c r="I36" s="41"/>
      <c r="J36" s="41"/>
      <c r="K36" s="4"/>
      <c r="L36" s="4"/>
      <c r="M36" s="4"/>
      <c r="N36" s="42"/>
      <c r="O36" s="43">
        <f>SUM(H37:H39)*E36</f>
        <v>4980.321124379999</v>
      </c>
      <c r="P36" s="62"/>
    </row>
    <row r="37" spans="1:16" ht="12.75">
      <c r="A37" s="64"/>
      <c r="B37" s="65">
        <v>1</v>
      </c>
      <c r="C37" s="66" t="s">
        <v>20</v>
      </c>
      <c r="D37" s="65" t="s">
        <v>21</v>
      </c>
      <c r="E37" s="67">
        <f>1.15*1.2*105</f>
        <v>144.89999999999998</v>
      </c>
      <c r="F37" s="66">
        <f>E37*F34</f>
        <v>121.71599999999998</v>
      </c>
      <c r="G37" s="34">
        <v>76.41</v>
      </c>
      <c r="H37" s="68">
        <f>PRODUCT(F37,G37)</f>
        <v>9300.319559999998</v>
      </c>
      <c r="I37" s="41"/>
      <c r="J37" s="41"/>
      <c r="K37" s="4"/>
      <c r="L37" s="43">
        <f>SUM(H37)</f>
        <v>9300.319559999998</v>
      </c>
      <c r="P37"/>
    </row>
    <row r="38" spans="1:16" ht="12.75">
      <c r="A38" s="64"/>
      <c r="B38" s="69"/>
      <c r="C38" s="70" t="s">
        <v>22</v>
      </c>
      <c r="D38" s="71"/>
      <c r="E38" s="57">
        <v>3.5</v>
      </c>
      <c r="F38" s="66"/>
      <c r="G38" s="66"/>
      <c r="H38" s="72"/>
      <c r="K38" s="43">
        <f>SUM(H37:H39)*E35</f>
        <v>9284.323010356798</v>
      </c>
      <c r="L38" s="4"/>
      <c r="M38" s="4"/>
      <c r="N38" s="42"/>
      <c r="O38" s="43"/>
      <c r="P38"/>
    </row>
    <row r="39" spans="1:9" ht="12.75">
      <c r="A39" s="73"/>
      <c r="B39" s="65">
        <v>3</v>
      </c>
      <c r="C39" s="66" t="s">
        <v>24</v>
      </c>
      <c r="D39" s="65"/>
      <c r="E39" s="67"/>
      <c r="F39" s="74"/>
      <c r="G39" s="75"/>
      <c r="H39" s="76"/>
      <c r="I39" s="77">
        <f>SUM(H40:H42)</f>
        <v>63.58400999999999</v>
      </c>
    </row>
    <row r="40" spans="1:8" ht="12.75">
      <c r="A40" s="78"/>
      <c r="B40" s="65">
        <v>330208</v>
      </c>
      <c r="C40" s="66" t="s">
        <v>40</v>
      </c>
      <c r="D40" s="79" t="s">
        <v>26</v>
      </c>
      <c r="E40" s="80">
        <f>1.25*1.2*2.9</f>
        <v>4.35</v>
      </c>
      <c r="F40" s="66">
        <f>E40*F34</f>
        <v>3.6539999999999995</v>
      </c>
      <c r="G40" s="66">
        <v>11.01</v>
      </c>
      <c r="H40" s="68">
        <f>PRODUCT(F40,G40)</f>
        <v>40.23053999999999</v>
      </c>
    </row>
    <row r="41" spans="1:15" ht="12.75">
      <c r="A41" s="78"/>
      <c r="B41" s="65">
        <v>330901</v>
      </c>
      <c r="C41" s="81" t="s">
        <v>41</v>
      </c>
      <c r="D41" s="65" t="s">
        <v>26</v>
      </c>
      <c r="E41" s="82">
        <f>1.25*1.2*0.25</f>
        <v>0.375</v>
      </c>
      <c r="F41" s="66">
        <f>E41*F34</f>
        <v>0.315</v>
      </c>
      <c r="G41" s="67">
        <v>18.03</v>
      </c>
      <c r="H41" s="68">
        <f>PRODUCT(F41,G41)</f>
        <v>5.67945</v>
      </c>
      <c r="I41" s="83"/>
      <c r="J41" s="83"/>
      <c r="K41" s="83"/>
      <c r="L41" s="84"/>
      <c r="M41" s="83"/>
      <c r="N41" s="83"/>
      <c r="O41" s="37"/>
    </row>
    <row r="42" spans="1:15" ht="12.75">
      <c r="A42" s="78"/>
      <c r="B42" s="65">
        <v>331451</v>
      </c>
      <c r="C42" s="81" t="s">
        <v>42</v>
      </c>
      <c r="D42" s="65" t="s">
        <v>26</v>
      </c>
      <c r="E42" s="82">
        <f>1.25*1.2*1.3</f>
        <v>1.9500000000000002</v>
      </c>
      <c r="F42" s="66">
        <f>E42*F34</f>
        <v>1.6380000000000001</v>
      </c>
      <c r="G42" s="67">
        <v>10.79</v>
      </c>
      <c r="H42" s="68">
        <f>PRODUCT(F42,G42)</f>
        <v>17.67402</v>
      </c>
      <c r="I42" s="83"/>
      <c r="J42" s="83"/>
      <c r="K42" s="83"/>
      <c r="L42" s="84"/>
      <c r="M42" s="83"/>
      <c r="N42" s="83"/>
      <c r="O42" s="37"/>
    </row>
    <row r="43" spans="1:15" ht="12.75">
      <c r="A43" s="78"/>
      <c r="B43" s="65">
        <v>4</v>
      </c>
      <c r="C43" s="81" t="s">
        <v>27</v>
      </c>
      <c r="D43" s="65"/>
      <c r="E43" s="82"/>
      <c r="F43" s="66"/>
      <c r="G43" s="67"/>
      <c r="H43" s="36"/>
      <c r="I43" s="83"/>
      <c r="J43" s="85">
        <f>SUM(H44:H59)</f>
        <v>30717.791999999998</v>
      </c>
      <c r="K43" s="83"/>
      <c r="L43" s="84"/>
      <c r="M43" s="83"/>
      <c r="N43" s="83"/>
      <c r="O43" s="37"/>
    </row>
    <row r="44" spans="1:15" ht="12.75">
      <c r="A44" s="78"/>
      <c r="B44" s="65" t="s">
        <v>43</v>
      </c>
      <c r="C44" s="81" t="s">
        <v>44</v>
      </c>
      <c r="D44" s="65" t="s">
        <v>45</v>
      </c>
      <c r="E44" s="82">
        <v>285</v>
      </c>
      <c r="F44" s="66">
        <f>E44*F34</f>
        <v>239.39999999999998</v>
      </c>
      <c r="G44" s="67">
        <v>27</v>
      </c>
      <c r="H44" s="68">
        <f aca="true" t="shared" si="0" ref="H44:H59">PRODUCT(F44,G44)</f>
        <v>6463.799999999999</v>
      </c>
      <c r="I44" s="83"/>
      <c r="J44" s="83"/>
      <c r="K44" s="83"/>
      <c r="L44" s="84"/>
      <c r="M44" s="83"/>
      <c r="N44" s="83"/>
      <c r="O44" s="37"/>
    </row>
    <row r="45" spans="1:15" ht="12.75">
      <c r="A45" s="78"/>
      <c r="B45" s="65" t="s">
        <v>46</v>
      </c>
      <c r="C45" s="81" t="s">
        <v>47</v>
      </c>
      <c r="D45" s="65" t="s">
        <v>45</v>
      </c>
      <c r="E45" s="82">
        <v>136</v>
      </c>
      <c r="F45" s="66">
        <f>E45*F34</f>
        <v>114.24</v>
      </c>
      <c r="G45" s="67">
        <v>25</v>
      </c>
      <c r="H45" s="68">
        <f t="shared" si="0"/>
        <v>2856</v>
      </c>
      <c r="I45" s="83"/>
      <c r="J45" s="83"/>
      <c r="K45" s="83"/>
      <c r="L45" s="84"/>
      <c r="M45" s="83"/>
      <c r="N45" s="83"/>
      <c r="O45" s="37"/>
    </row>
    <row r="46" spans="1:15" ht="12.75">
      <c r="A46" s="78"/>
      <c r="B46" s="65" t="s">
        <v>48</v>
      </c>
      <c r="C46" s="81" t="s">
        <v>49</v>
      </c>
      <c r="D46" s="65" t="s">
        <v>50</v>
      </c>
      <c r="E46" s="82">
        <v>54</v>
      </c>
      <c r="F46" s="66">
        <f>E46*F34</f>
        <v>45.36</v>
      </c>
      <c r="G46" s="67">
        <v>4.5</v>
      </c>
      <c r="H46" s="68">
        <f t="shared" si="0"/>
        <v>204.12</v>
      </c>
      <c r="I46" s="83"/>
      <c r="J46" s="83"/>
      <c r="K46" s="83"/>
      <c r="L46" s="84"/>
      <c r="M46" s="83"/>
      <c r="N46" s="83"/>
      <c r="O46" s="37"/>
    </row>
    <row r="47" spans="1:11" ht="12.75">
      <c r="A47" s="78"/>
      <c r="B47" s="65" t="s">
        <v>51</v>
      </c>
      <c r="C47" s="66" t="s">
        <v>52</v>
      </c>
      <c r="D47" s="65" t="s">
        <v>50</v>
      </c>
      <c r="E47" s="67">
        <v>159</v>
      </c>
      <c r="F47" s="66">
        <f>E47*F34</f>
        <v>133.56</v>
      </c>
      <c r="G47" s="75">
        <v>6.8</v>
      </c>
      <c r="H47" s="68">
        <f t="shared" si="0"/>
        <v>908.208</v>
      </c>
      <c r="J47" s="77"/>
      <c r="K47" s="86"/>
    </row>
    <row r="48" spans="1:14" ht="12.75">
      <c r="A48" s="78"/>
      <c r="B48" s="65" t="s">
        <v>53</v>
      </c>
      <c r="C48" s="66" t="s">
        <v>54</v>
      </c>
      <c r="D48" s="65" t="s">
        <v>50</v>
      </c>
      <c r="E48" s="67">
        <v>67</v>
      </c>
      <c r="F48" s="66">
        <f>E48*F34</f>
        <v>56.28</v>
      </c>
      <c r="G48" s="67">
        <v>12</v>
      </c>
      <c r="H48" s="68">
        <f t="shared" si="0"/>
        <v>675.36</v>
      </c>
      <c r="M48" s="86"/>
      <c r="N48" s="86"/>
    </row>
    <row r="49" spans="1:8" ht="12.75">
      <c r="A49" s="78"/>
      <c r="B49" s="65" t="s">
        <v>55</v>
      </c>
      <c r="C49" s="66" t="s">
        <v>56</v>
      </c>
      <c r="D49" s="65" t="s">
        <v>50</v>
      </c>
      <c r="E49" s="67">
        <v>67</v>
      </c>
      <c r="F49" s="66">
        <f>E49*F34</f>
        <v>56.28</v>
      </c>
      <c r="G49" s="75">
        <v>6.3</v>
      </c>
      <c r="H49" s="68">
        <f t="shared" si="0"/>
        <v>354.564</v>
      </c>
    </row>
    <row r="50" spans="1:8" ht="12.75">
      <c r="A50" s="78"/>
      <c r="B50" s="65" t="s">
        <v>57</v>
      </c>
      <c r="C50" s="66" t="s">
        <v>58</v>
      </c>
      <c r="D50" s="65" t="s">
        <v>50</v>
      </c>
      <c r="E50" s="67">
        <v>67</v>
      </c>
      <c r="F50" s="66">
        <f>E50*F34</f>
        <v>56.28</v>
      </c>
      <c r="G50" s="75">
        <v>5.6</v>
      </c>
      <c r="H50" s="68">
        <f t="shared" si="0"/>
        <v>315.168</v>
      </c>
    </row>
    <row r="51" spans="1:8" ht="12.75">
      <c r="A51" s="78"/>
      <c r="B51" s="65" t="s">
        <v>59</v>
      </c>
      <c r="C51" s="66" t="s">
        <v>60</v>
      </c>
      <c r="D51" s="65" t="s">
        <v>50</v>
      </c>
      <c r="E51" s="67">
        <v>322</v>
      </c>
      <c r="F51" s="66">
        <f>E51*F34</f>
        <v>270.48</v>
      </c>
      <c r="G51" s="66">
        <v>1.4</v>
      </c>
      <c r="H51" s="68">
        <f t="shared" si="0"/>
        <v>378.672</v>
      </c>
    </row>
    <row r="52" spans="1:8" ht="12.75">
      <c r="A52" s="78"/>
      <c r="B52" s="65" t="s">
        <v>61</v>
      </c>
      <c r="C52" s="66" t="s">
        <v>62</v>
      </c>
      <c r="D52" s="65" t="s">
        <v>63</v>
      </c>
      <c r="E52" s="67">
        <v>111</v>
      </c>
      <c r="F52" s="66">
        <f>E52*F34</f>
        <v>93.24</v>
      </c>
      <c r="G52" s="67">
        <v>158</v>
      </c>
      <c r="H52" s="68">
        <f t="shared" si="0"/>
        <v>14731.92</v>
      </c>
    </row>
    <row r="53" spans="1:8" ht="12.75">
      <c r="A53" s="78"/>
      <c r="B53" s="65" t="s">
        <v>64</v>
      </c>
      <c r="C53" s="66" t="s">
        <v>65</v>
      </c>
      <c r="D53" s="65" t="s">
        <v>45</v>
      </c>
      <c r="E53" s="67">
        <v>135</v>
      </c>
      <c r="F53" s="66">
        <f>E53*F34</f>
        <v>113.39999999999999</v>
      </c>
      <c r="G53" s="75">
        <v>9</v>
      </c>
      <c r="H53" s="68">
        <f t="shared" si="0"/>
        <v>1020.5999999999999</v>
      </c>
    </row>
    <row r="54" spans="1:8" ht="12.75">
      <c r="A54" s="78"/>
      <c r="B54" s="65" t="s">
        <v>66</v>
      </c>
      <c r="C54" s="66" t="s">
        <v>67</v>
      </c>
      <c r="D54" s="65" t="s">
        <v>50</v>
      </c>
      <c r="E54" s="67">
        <v>368</v>
      </c>
      <c r="F54" s="66">
        <f>E54*F34</f>
        <v>309.12</v>
      </c>
      <c r="G54" s="75">
        <v>0.15</v>
      </c>
      <c r="H54" s="68">
        <f t="shared" si="0"/>
        <v>46.368</v>
      </c>
    </row>
    <row r="55" spans="1:8" ht="12.75">
      <c r="A55" s="73"/>
      <c r="B55" s="65" t="s">
        <v>68</v>
      </c>
      <c r="C55" s="66" t="s">
        <v>69</v>
      </c>
      <c r="D55" s="65" t="s">
        <v>50</v>
      </c>
      <c r="E55" s="67">
        <v>3132</v>
      </c>
      <c r="F55" s="66">
        <f>E55*F34</f>
        <v>2630.88</v>
      </c>
      <c r="G55" s="75">
        <v>0.3</v>
      </c>
      <c r="H55" s="68">
        <f t="shared" si="0"/>
        <v>789.264</v>
      </c>
    </row>
    <row r="56" spans="1:11" ht="12.75">
      <c r="A56" s="73"/>
      <c r="B56" s="65" t="s">
        <v>70</v>
      </c>
      <c r="C56" s="87" t="s">
        <v>71</v>
      </c>
      <c r="D56" s="65" t="s">
        <v>72</v>
      </c>
      <c r="E56" s="67">
        <v>56</v>
      </c>
      <c r="F56" s="66">
        <f>E56*F34</f>
        <v>47.04</v>
      </c>
      <c r="G56" s="88">
        <v>11.3</v>
      </c>
      <c r="H56" s="68">
        <f t="shared" si="0"/>
        <v>531.552</v>
      </c>
      <c r="K56" s="86"/>
    </row>
    <row r="57" spans="1:13" ht="12.75">
      <c r="A57" s="73"/>
      <c r="B57" s="65" t="s">
        <v>73</v>
      </c>
      <c r="C57" s="66" t="s">
        <v>74</v>
      </c>
      <c r="D57" s="79" t="s">
        <v>45</v>
      </c>
      <c r="E57" s="80">
        <v>123</v>
      </c>
      <c r="F57" s="66">
        <f>E57*F34</f>
        <v>103.32</v>
      </c>
      <c r="G57" s="66">
        <v>3</v>
      </c>
      <c r="H57" s="68">
        <f t="shared" si="0"/>
        <v>309.96</v>
      </c>
      <c r="M57" s="86"/>
    </row>
    <row r="58" spans="1:15" ht="12.75">
      <c r="A58" s="73"/>
      <c r="B58" s="65" t="s">
        <v>75</v>
      </c>
      <c r="C58" s="81" t="s">
        <v>76</v>
      </c>
      <c r="D58" s="65" t="s">
        <v>45</v>
      </c>
      <c r="E58" s="82">
        <v>135</v>
      </c>
      <c r="F58" s="66">
        <f>E58*F34</f>
        <v>113.39999999999999</v>
      </c>
      <c r="G58" s="67">
        <v>6</v>
      </c>
      <c r="H58" s="68">
        <f t="shared" si="0"/>
        <v>680.4</v>
      </c>
      <c r="I58" s="83"/>
      <c r="J58" s="83"/>
      <c r="K58" s="83"/>
      <c r="L58" s="84"/>
      <c r="M58" s="83"/>
      <c r="N58" s="83"/>
      <c r="O58" s="37"/>
    </row>
    <row r="59" spans="1:12" ht="12.75">
      <c r="A59" s="73"/>
      <c r="B59" s="65" t="s">
        <v>77</v>
      </c>
      <c r="C59" s="66" t="s">
        <v>78</v>
      </c>
      <c r="D59" s="65" t="s">
        <v>72</v>
      </c>
      <c r="E59" s="67">
        <v>11</v>
      </c>
      <c r="F59" s="66">
        <f>E59*F34</f>
        <v>9.24</v>
      </c>
      <c r="G59" s="75">
        <v>48.9</v>
      </c>
      <c r="H59" s="68">
        <f t="shared" si="0"/>
        <v>451.836</v>
      </c>
      <c r="L59" s="86"/>
    </row>
    <row r="60" spans="1:16" s="27" customFormat="1" ht="51">
      <c r="A60" s="89">
        <v>3</v>
      </c>
      <c r="B60" s="53" t="s">
        <v>79</v>
      </c>
      <c r="C60" s="54" t="s">
        <v>80</v>
      </c>
      <c r="D60" s="90" t="s">
        <v>81</v>
      </c>
      <c r="E60" s="55"/>
      <c r="F60" s="91">
        <f>F34+F11</f>
        <v>0.84</v>
      </c>
      <c r="G60" s="57"/>
      <c r="H60" s="76"/>
      <c r="I60" s="1"/>
      <c r="J60" s="1"/>
      <c r="K60" s="1"/>
      <c r="L60" s="37"/>
      <c r="M60" s="1"/>
      <c r="N60" s="1"/>
      <c r="O60"/>
      <c r="P60" s="7"/>
    </row>
    <row r="61" spans="1:16" s="27" customFormat="1" ht="12.75">
      <c r="A61" s="92"/>
      <c r="B61" s="30" t="s">
        <v>38</v>
      </c>
      <c r="C61" s="31" t="s">
        <v>18</v>
      </c>
      <c r="D61" s="32"/>
      <c r="E61" s="93">
        <f>94.5%*0.94</f>
        <v>0.8882999999999999</v>
      </c>
      <c r="F61" s="34"/>
      <c r="G61" s="34"/>
      <c r="H61" s="36"/>
      <c r="I61" s="37"/>
      <c r="J61" s="1"/>
      <c r="K61" s="1"/>
      <c r="L61" s="37"/>
      <c r="M61" s="1"/>
      <c r="N61" s="1"/>
      <c r="O61"/>
      <c r="P61" s="7"/>
    </row>
    <row r="62" spans="1:16" s="27" customFormat="1" ht="12.75">
      <c r="A62" s="92"/>
      <c r="B62" s="32" t="s">
        <v>39</v>
      </c>
      <c r="C62" s="31" t="s">
        <v>19</v>
      </c>
      <c r="D62" s="38"/>
      <c r="E62" s="93">
        <v>0.4675</v>
      </c>
      <c r="F62" s="34"/>
      <c r="G62" s="34"/>
      <c r="H62" s="40"/>
      <c r="I62" s="41"/>
      <c r="J62" s="41"/>
      <c r="K62" s="4"/>
      <c r="L62" s="4"/>
      <c r="M62" s="4"/>
      <c r="N62" s="42"/>
      <c r="O62" s="43">
        <f>SUM(H63:H65)*E62</f>
        <v>880.0852840163999</v>
      </c>
      <c r="P62" s="7"/>
    </row>
    <row r="63" spans="1:16" s="27" customFormat="1" ht="12.75">
      <c r="A63" s="29"/>
      <c r="B63" s="94">
        <v>1</v>
      </c>
      <c r="C63" s="95" t="s">
        <v>20</v>
      </c>
      <c r="D63" s="94" t="s">
        <v>21</v>
      </c>
      <c r="E63" s="55">
        <f>1.2*1.15*20.02</f>
        <v>27.627599999999997</v>
      </c>
      <c r="F63" s="34">
        <f>PRODUCT(F60,E63)</f>
        <v>23.207183999999998</v>
      </c>
      <c r="G63" s="46">
        <v>81.07</v>
      </c>
      <c r="H63" s="36">
        <f>PRODUCT(F63,G63)</f>
        <v>1881.4064068799996</v>
      </c>
      <c r="I63" s="41"/>
      <c r="J63" s="41"/>
      <c r="K63" s="4"/>
      <c r="L63" s="43">
        <f>SUM(H63)</f>
        <v>1881.4064068799996</v>
      </c>
      <c r="M63" s="4"/>
      <c r="N63" s="4"/>
      <c r="O63" s="7"/>
      <c r="P63"/>
    </row>
    <row r="64" spans="1:16" s="27" customFormat="1" ht="12.75">
      <c r="A64" s="29"/>
      <c r="B64" s="69"/>
      <c r="C64" s="95" t="s">
        <v>22</v>
      </c>
      <c r="D64" s="94"/>
      <c r="E64" s="55">
        <v>4</v>
      </c>
      <c r="F64" s="34"/>
      <c r="G64" s="46"/>
      <c r="H64" s="36"/>
      <c r="I64" s="7"/>
      <c r="J64" s="7"/>
      <c r="K64" s="43">
        <f>SUM(H63:H65)*E61</f>
        <v>1672.2561663995034</v>
      </c>
      <c r="L64" s="4"/>
      <c r="M64" s="4"/>
      <c r="N64" s="4"/>
      <c r="O64" s="7"/>
      <c r="P64"/>
    </row>
    <row r="65" spans="1:16" s="27" customFormat="1" ht="12.75">
      <c r="A65" s="29"/>
      <c r="B65" s="94">
        <v>2</v>
      </c>
      <c r="C65" s="95" t="s">
        <v>23</v>
      </c>
      <c r="D65" s="94" t="s">
        <v>21</v>
      </c>
      <c r="E65" s="55">
        <f>1.2*1.25*0.04-E68</f>
        <v>0.015</v>
      </c>
      <c r="F65" s="34">
        <f>PRODUCT(F60,E65)</f>
        <v>0.012599999999999998</v>
      </c>
      <c r="G65" s="96">
        <v>89.6</v>
      </c>
      <c r="H65" s="36">
        <f>PRODUCT(F65,G65)</f>
        <v>1.1289599999999997</v>
      </c>
      <c r="I65" s="7"/>
      <c r="J65" s="7"/>
      <c r="K65" s="4"/>
      <c r="L65" s="4"/>
      <c r="M65" s="43">
        <f>SUM(H65)</f>
        <v>1.1289599999999997</v>
      </c>
      <c r="N65" s="4"/>
      <c r="O65" s="7"/>
      <c r="P65"/>
    </row>
    <row r="66" spans="1:16" s="27" customFormat="1" ht="12.75">
      <c r="A66" s="29"/>
      <c r="B66" s="94">
        <v>3</v>
      </c>
      <c r="C66" s="95" t="s">
        <v>24</v>
      </c>
      <c r="D66" s="94"/>
      <c r="E66" s="55"/>
      <c r="F66" s="34"/>
      <c r="G66" s="34"/>
      <c r="H66" s="36"/>
      <c r="I66" s="97">
        <f>SUM(H67:H68)</f>
        <v>19.847394</v>
      </c>
      <c r="J66" s="7"/>
      <c r="K66" s="7"/>
      <c r="L66" s="7"/>
      <c r="M66" s="7"/>
      <c r="N66" s="7"/>
      <c r="O66" s="7"/>
      <c r="P66"/>
    </row>
    <row r="67" spans="1:16" ht="22.5" customHeight="1">
      <c r="A67" s="29"/>
      <c r="B67" s="94">
        <v>31121</v>
      </c>
      <c r="C67" s="95" t="s">
        <v>82</v>
      </c>
      <c r="D67" s="94" t="s">
        <v>26</v>
      </c>
      <c r="E67" s="55">
        <f>1.2*1.25*0.01</f>
        <v>0.015</v>
      </c>
      <c r="F67" s="34">
        <f>PRODUCT(F60,E67)</f>
        <v>0.012599999999999998</v>
      </c>
      <c r="G67" s="67">
        <v>242.08</v>
      </c>
      <c r="H67" s="36">
        <f>PRODUCT(F67,G67)</f>
        <v>3.0502079999999996</v>
      </c>
      <c r="P67"/>
    </row>
    <row r="68" spans="1:16" ht="12.75" customHeight="1">
      <c r="A68" s="29"/>
      <c r="B68" s="94">
        <v>400001</v>
      </c>
      <c r="C68" s="95" t="s">
        <v>83</v>
      </c>
      <c r="D68" s="98" t="s">
        <v>26</v>
      </c>
      <c r="E68" s="99">
        <f>1.2*1.25*0.03</f>
        <v>0.045</v>
      </c>
      <c r="F68" s="34">
        <f>PRODUCT(F60,E68)</f>
        <v>0.0378</v>
      </c>
      <c r="G68" s="57">
        <v>444.37</v>
      </c>
      <c r="H68" s="36">
        <f>PRODUCT(F68,G68)</f>
        <v>16.797186</v>
      </c>
      <c r="P68"/>
    </row>
    <row r="69" spans="1:16" ht="12.75">
      <c r="A69" s="29"/>
      <c r="B69" s="94">
        <v>4</v>
      </c>
      <c r="C69" s="95" t="s">
        <v>27</v>
      </c>
      <c r="D69" s="32"/>
      <c r="E69" s="100"/>
      <c r="F69" s="34"/>
      <c r="G69" s="34"/>
      <c r="H69" s="36"/>
      <c r="J69" s="97">
        <f>SUM(H70:H71)</f>
        <v>822.0710399999999</v>
      </c>
      <c r="P69"/>
    </row>
    <row r="70" spans="1:16" ht="12.75">
      <c r="A70" s="29"/>
      <c r="B70" s="101" t="s">
        <v>84</v>
      </c>
      <c r="C70" s="102" t="s">
        <v>85</v>
      </c>
      <c r="D70" s="101" t="s">
        <v>72</v>
      </c>
      <c r="E70" s="103">
        <v>0.2</v>
      </c>
      <c r="F70" s="34">
        <f>PRODUCT(F60,E70)</f>
        <v>0.168</v>
      </c>
      <c r="G70" s="34">
        <v>3.28</v>
      </c>
      <c r="H70" s="36">
        <f>PRODUCT(F70,G70)</f>
        <v>0.55104</v>
      </c>
      <c r="P70"/>
    </row>
    <row r="71" spans="1:16" ht="12.75">
      <c r="A71" s="29"/>
      <c r="B71" s="94" t="s">
        <v>86</v>
      </c>
      <c r="C71" s="95" t="s">
        <v>87</v>
      </c>
      <c r="D71" s="94" t="s">
        <v>35</v>
      </c>
      <c r="E71" s="55">
        <v>0.02</v>
      </c>
      <c r="F71" s="34">
        <f>PRODUCT(F60,E71)</f>
        <v>0.0168</v>
      </c>
      <c r="G71" s="34">
        <v>48900</v>
      </c>
      <c r="H71" s="36">
        <f>PRODUCT(F71,G71)</f>
        <v>821.52</v>
      </c>
      <c r="I71" s="41"/>
      <c r="J71" s="41"/>
      <c r="K71" s="4"/>
      <c r="L71" s="4"/>
      <c r="M71" s="4"/>
      <c r="N71" s="42"/>
      <c r="O71" s="43"/>
      <c r="P71"/>
    </row>
    <row r="72" spans="1:15" ht="51">
      <c r="A72" s="89">
        <v>4</v>
      </c>
      <c r="B72" s="53" t="s">
        <v>88</v>
      </c>
      <c r="C72" s="54" t="s">
        <v>89</v>
      </c>
      <c r="D72" s="90" t="s">
        <v>81</v>
      </c>
      <c r="E72" s="55"/>
      <c r="F72" s="91">
        <f>F60</f>
        <v>0.84</v>
      </c>
      <c r="G72" s="57"/>
      <c r="H72" s="76"/>
      <c r="I72" s="1"/>
      <c r="J72" s="1"/>
      <c r="K72" s="1"/>
      <c r="L72" s="1"/>
      <c r="M72" s="37"/>
      <c r="N72" s="1"/>
      <c r="O72"/>
    </row>
    <row r="73" spans="1:15" ht="12.75">
      <c r="A73" s="29"/>
      <c r="B73" s="30" t="s">
        <v>38</v>
      </c>
      <c r="C73" s="31" t="s">
        <v>18</v>
      </c>
      <c r="D73" s="32"/>
      <c r="E73" s="93">
        <f>94.5%*0.94</f>
        <v>0.8882999999999999</v>
      </c>
      <c r="F73" s="34"/>
      <c r="G73" s="34"/>
      <c r="H73" s="36"/>
      <c r="I73" s="37"/>
      <c r="J73" s="1"/>
      <c r="K73" s="1"/>
      <c r="L73" s="37"/>
      <c r="M73" s="1"/>
      <c r="N73" s="1"/>
      <c r="O73"/>
    </row>
    <row r="74" spans="1:15" ht="12.75">
      <c r="A74" s="29"/>
      <c r="B74" s="32" t="s">
        <v>39</v>
      </c>
      <c r="C74" s="31" t="s">
        <v>19</v>
      </c>
      <c r="D74" s="38"/>
      <c r="E74" s="93">
        <v>0.4675</v>
      </c>
      <c r="F74" s="34"/>
      <c r="G74" s="34"/>
      <c r="H74" s="40"/>
      <c r="I74" s="41"/>
      <c r="J74" s="41"/>
      <c r="K74" s="4"/>
      <c r="L74" s="4"/>
      <c r="M74" s="4"/>
      <c r="N74" s="42"/>
      <c r="O74" s="43">
        <f>SUM(H75:H77)*E74</f>
        <v>716.7642867</v>
      </c>
    </row>
    <row r="75" spans="1:16" s="27" customFormat="1" ht="12.75">
      <c r="A75" s="29"/>
      <c r="B75" s="94">
        <v>1</v>
      </c>
      <c r="C75" s="104" t="s">
        <v>20</v>
      </c>
      <c r="D75" s="94" t="s">
        <v>21</v>
      </c>
      <c r="E75" s="55">
        <f>1.2*1.15*16.5</f>
        <v>22.77</v>
      </c>
      <c r="F75" s="34">
        <f>PRODUCT(F72,E75)</f>
        <v>19.1268</v>
      </c>
      <c r="G75" s="46">
        <v>80.1</v>
      </c>
      <c r="H75" s="36">
        <f>PRODUCT(F75,G75)</f>
        <v>1532.05668</v>
      </c>
      <c r="I75" s="41"/>
      <c r="J75" s="41"/>
      <c r="K75" s="4"/>
      <c r="L75" s="43">
        <f>SUM(H75)</f>
        <v>1532.05668</v>
      </c>
      <c r="M75" s="4"/>
      <c r="N75" s="4"/>
      <c r="O75" s="7"/>
      <c r="P75"/>
    </row>
    <row r="76" spans="1:16" s="27" customFormat="1" ht="12.75">
      <c r="A76" s="29"/>
      <c r="B76" s="48"/>
      <c r="C76" s="35" t="s">
        <v>22</v>
      </c>
      <c r="D76" s="98"/>
      <c r="E76" s="99">
        <v>3.9</v>
      </c>
      <c r="F76" s="34"/>
      <c r="G76" s="46"/>
      <c r="H76" s="36"/>
      <c r="I76" s="7"/>
      <c r="J76" s="7"/>
      <c r="K76" s="43">
        <f>SUM(H75:H77)*E73</f>
        <v>1361.9288040119998</v>
      </c>
      <c r="L76" s="4"/>
      <c r="M76" s="4"/>
      <c r="N76" s="4"/>
      <c r="O76" s="7"/>
      <c r="P76"/>
    </row>
    <row r="77" spans="1:16" s="27" customFormat="1" ht="12.75">
      <c r="A77" s="29"/>
      <c r="B77" s="32">
        <v>2</v>
      </c>
      <c r="C77" s="31" t="s">
        <v>23</v>
      </c>
      <c r="D77" s="32" t="s">
        <v>21</v>
      </c>
      <c r="E77" s="100">
        <f>1.2*1.25*0.05-E79</f>
        <v>0.015000000000000013</v>
      </c>
      <c r="F77" s="34">
        <f>PRODUCT(F72,E77)</f>
        <v>0.01260000000000001</v>
      </c>
      <c r="G77" s="96">
        <v>89.6</v>
      </c>
      <c r="H77" s="36">
        <f>PRODUCT(F77,G77)</f>
        <v>1.1289600000000009</v>
      </c>
      <c r="I77" s="7"/>
      <c r="J77" s="7"/>
      <c r="K77" s="4"/>
      <c r="L77" s="4"/>
      <c r="M77" s="43">
        <f>SUM(H77)</f>
        <v>1.1289600000000009</v>
      </c>
      <c r="N77" s="4"/>
      <c r="O77" s="7"/>
      <c r="P77"/>
    </row>
    <row r="78" spans="1:16" s="27" customFormat="1" ht="12.75">
      <c r="A78" s="29"/>
      <c r="B78" s="94">
        <v>3</v>
      </c>
      <c r="C78" s="104" t="s">
        <v>24</v>
      </c>
      <c r="D78" s="94"/>
      <c r="E78" s="55"/>
      <c r="F78" s="34"/>
      <c r="G78" s="34"/>
      <c r="H78" s="36"/>
      <c r="I78" s="97">
        <f>SUM(H79:H80)</f>
        <v>25.446455999999998</v>
      </c>
      <c r="J78" s="7"/>
      <c r="K78" s="7"/>
      <c r="L78" s="7"/>
      <c r="M78" s="7"/>
      <c r="N78" s="7"/>
      <c r="O78" s="7"/>
      <c r="P78"/>
    </row>
    <row r="79" spans="1:16" s="27" customFormat="1" ht="12.75">
      <c r="A79" s="29"/>
      <c r="B79" s="94">
        <v>400001</v>
      </c>
      <c r="C79" s="95" t="s">
        <v>83</v>
      </c>
      <c r="D79" s="105" t="s">
        <v>26</v>
      </c>
      <c r="E79" s="55">
        <f>1.2*1.25*0.04</f>
        <v>0.06</v>
      </c>
      <c r="F79" s="34">
        <f>PRODUCT(F72,E79)</f>
        <v>0.05039999999999999</v>
      </c>
      <c r="G79" s="57">
        <v>444.37</v>
      </c>
      <c r="H79" s="36">
        <f>PRODUCT(F79,G79)</f>
        <v>22.396247999999996</v>
      </c>
      <c r="I79" s="7"/>
      <c r="J79" s="7"/>
      <c r="K79" s="7"/>
      <c r="L79" s="7"/>
      <c r="M79" s="7"/>
      <c r="N79" s="7"/>
      <c r="O79" s="7"/>
      <c r="P79"/>
    </row>
    <row r="80" spans="1:16" s="27" customFormat="1" ht="12.75">
      <c r="A80" s="29"/>
      <c r="B80" s="94">
        <v>31121</v>
      </c>
      <c r="C80" s="95" t="s">
        <v>82</v>
      </c>
      <c r="D80" s="94" t="s">
        <v>26</v>
      </c>
      <c r="E80" s="55">
        <f>1.2*1.25*0.01</f>
        <v>0.015</v>
      </c>
      <c r="F80" s="34">
        <f>PRODUCT(F72,E80)</f>
        <v>0.012599999999999998</v>
      </c>
      <c r="G80" s="67">
        <v>242.08</v>
      </c>
      <c r="H80" s="36">
        <f>PRODUCT(F80,G80)</f>
        <v>3.0502079999999996</v>
      </c>
      <c r="I80" s="7"/>
      <c r="J80" s="7"/>
      <c r="K80" s="7"/>
      <c r="L80" s="7"/>
      <c r="M80" s="7"/>
      <c r="N80" s="7"/>
      <c r="O80" s="7"/>
      <c r="P80"/>
    </row>
    <row r="81" spans="1:16" s="27" customFormat="1" ht="12.75">
      <c r="A81" s="29"/>
      <c r="B81" s="94">
        <v>4</v>
      </c>
      <c r="C81" s="104" t="s">
        <v>27</v>
      </c>
      <c r="D81" s="105"/>
      <c r="E81" s="106"/>
      <c r="F81" s="34"/>
      <c r="G81" s="34"/>
      <c r="H81" s="36"/>
      <c r="I81" s="7"/>
      <c r="J81" s="97">
        <f>SUM(H82:H84)</f>
        <v>382.157394528</v>
      </c>
      <c r="K81" s="7"/>
      <c r="L81" s="7"/>
      <c r="M81" s="7"/>
      <c r="N81" s="7"/>
      <c r="O81" s="7"/>
      <c r="P81"/>
    </row>
    <row r="82" spans="1:16" s="27" customFormat="1" ht="12.75">
      <c r="A82" s="29"/>
      <c r="B82" s="94" t="s">
        <v>90</v>
      </c>
      <c r="C82" s="104" t="s">
        <v>91</v>
      </c>
      <c r="D82" s="94" t="s">
        <v>35</v>
      </c>
      <c r="E82" s="55">
        <v>0.032</v>
      </c>
      <c r="F82" s="34">
        <f>PRODUCT(F72,E82)</f>
        <v>0.02688</v>
      </c>
      <c r="G82" s="34">
        <v>14200</v>
      </c>
      <c r="H82" s="36">
        <f>PRODUCT(F82,G82)</f>
        <v>381.696</v>
      </c>
      <c r="I82" s="7"/>
      <c r="J82" s="7"/>
      <c r="K82" s="7"/>
      <c r="L82" s="7"/>
      <c r="M82" s="7"/>
      <c r="N82" s="7"/>
      <c r="O82" s="7"/>
      <c r="P82"/>
    </row>
    <row r="83" spans="1:16" s="27" customFormat="1" ht="12.75">
      <c r="A83" s="29"/>
      <c r="B83" s="94" t="s">
        <v>84</v>
      </c>
      <c r="C83" s="104" t="s">
        <v>85</v>
      </c>
      <c r="D83" s="94" t="s">
        <v>72</v>
      </c>
      <c r="E83" s="55">
        <v>0.15</v>
      </c>
      <c r="F83" s="34">
        <f>PRODUCT(F72,E83)</f>
        <v>0.126</v>
      </c>
      <c r="G83" s="34">
        <v>3.28</v>
      </c>
      <c r="H83" s="36">
        <f>PRODUCT(F83,G83)</f>
        <v>0.41328</v>
      </c>
      <c r="I83" s="41"/>
      <c r="J83" s="41"/>
      <c r="K83" s="4"/>
      <c r="L83" s="4"/>
      <c r="M83" s="4"/>
      <c r="N83" s="42"/>
      <c r="O83" s="43"/>
      <c r="P83"/>
    </row>
    <row r="84" spans="1:16" s="27" customFormat="1" ht="12.75">
      <c r="A84" s="29"/>
      <c r="B84" s="94" t="s">
        <v>92</v>
      </c>
      <c r="C84" s="104" t="s">
        <v>93</v>
      </c>
      <c r="D84" s="94" t="s">
        <v>94</v>
      </c>
      <c r="E84" s="55">
        <v>0.00044</v>
      </c>
      <c r="F84" s="34">
        <f>PRODUCT(F72,E84)</f>
        <v>0.0003696</v>
      </c>
      <c r="G84" s="34">
        <v>130.18</v>
      </c>
      <c r="H84" s="36">
        <f>PRODUCT(F84,G84)</f>
        <v>0.048114528000000004</v>
      </c>
      <c r="I84" s="1"/>
      <c r="J84" s="1"/>
      <c r="K84" s="1"/>
      <c r="L84" s="37"/>
      <c r="M84" s="1"/>
      <c r="N84" s="1"/>
      <c r="O84"/>
      <c r="P84"/>
    </row>
    <row r="85" spans="1:15" s="325" customFormat="1" ht="63.75">
      <c r="A85" s="89">
        <v>5</v>
      </c>
      <c r="B85" s="53" t="s">
        <v>388</v>
      </c>
      <c r="C85" s="107" t="s">
        <v>369</v>
      </c>
      <c r="D85" s="90" t="s">
        <v>81</v>
      </c>
      <c r="E85" s="55"/>
      <c r="F85" s="337">
        <v>0.84</v>
      </c>
      <c r="G85" s="339"/>
      <c r="H85" s="331"/>
      <c r="I85"/>
      <c r="J85"/>
      <c r="K85"/>
      <c r="L85"/>
      <c r="M85"/>
      <c r="N85"/>
      <c r="O85"/>
    </row>
    <row r="86" spans="1:18" s="325" customFormat="1" ht="12.75">
      <c r="A86" s="29"/>
      <c r="B86" s="30" t="s">
        <v>38</v>
      </c>
      <c r="C86" s="327" t="s">
        <v>18</v>
      </c>
      <c r="D86" s="328"/>
      <c r="E86" s="93">
        <f>94.5%*0.94</f>
        <v>0.8882999999999999</v>
      </c>
      <c r="F86" s="329"/>
      <c r="G86" s="330"/>
      <c r="H86" s="331"/>
      <c r="I86" s="37"/>
      <c r="J86" s="1"/>
      <c r="K86" s="1"/>
      <c r="L86" s="37"/>
      <c r="M86" s="1"/>
      <c r="N86" s="1"/>
      <c r="O86"/>
      <c r="Q86"/>
      <c r="R86"/>
    </row>
    <row r="87" spans="1:18" s="325" customFormat="1" ht="12.75">
      <c r="A87" s="29"/>
      <c r="B87" s="328" t="s">
        <v>39</v>
      </c>
      <c r="C87" s="327" t="s">
        <v>19</v>
      </c>
      <c r="D87" s="332"/>
      <c r="E87" s="93">
        <v>0.4675</v>
      </c>
      <c r="F87" s="329"/>
      <c r="G87" s="330"/>
      <c r="H87" s="40"/>
      <c r="I87" s="333"/>
      <c r="J87" s="333"/>
      <c r="K87" s="323"/>
      <c r="L87" s="323"/>
      <c r="M87" s="323"/>
      <c r="N87" s="334"/>
      <c r="O87" s="326">
        <f>SUM(H88:H90)*E87</f>
        <v>2456.0841906215996</v>
      </c>
      <c r="Q87"/>
      <c r="R87"/>
    </row>
    <row r="88" spans="1:17" s="325" customFormat="1" ht="12.75">
      <c r="A88" s="29"/>
      <c r="B88" s="328">
        <v>1</v>
      </c>
      <c r="C88" s="108" t="s">
        <v>20</v>
      </c>
      <c r="D88" s="94" t="s">
        <v>21</v>
      </c>
      <c r="E88" s="55">
        <f>1.2*1.15*55.88</f>
        <v>77.1144</v>
      </c>
      <c r="F88" s="329">
        <f>PRODUCT(F85,E88)</f>
        <v>64.776096</v>
      </c>
      <c r="G88" s="338">
        <v>81.07</v>
      </c>
      <c r="H88" s="331">
        <f>PRODUCT(F88,G88)</f>
        <v>5251.398102719999</v>
      </c>
      <c r="I88" s="333"/>
      <c r="J88" s="333"/>
      <c r="K88" s="323"/>
      <c r="L88" s="326">
        <f>SUM(H88)</f>
        <v>5251.398102719999</v>
      </c>
      <c r="M88" s="323"/>
      <c r="N88" s="323"/>
      <c r="P88"/>
      <c r="Q88"/>
    </row>
    <row r="89" spans="1:17" s="325" customFormat="1" ht="12.75">
      <c r="A89" s="29"/>
      <c r="B89" s="69"/>
      <c r="C89" s="108" t="s">
        <v>22</v>
      </c>
      <c r="D89" s="94"/>
      <c r="E89" s="55">
        <v>4</v>
      </c>
      <c r="F89" s="329"/>
      <c r="G89" s="338"/>
      <c r="H89" s="331"/>
      <c r="K89" s="326">
        <f>SUM(H88:H90)*E86</f>
        <v>4666.822644982174</v>
      </c>
      <c r="L89" s="323"/>
      <c r="M89" s="323"/>
      <c r="N89" s="323"/>
      <c r="P89"/>
      <c r="Q89"/>
    </row>
    <row r="90" spans="1:17" s="325" customFormat="1" ht="12.75">
      <c r="A90" s="29"/>
      <c r="B90" s="94">
        <v>2</v>
      </c>
      <c r="C90" s="108" t="s">
        <v>23</v>
      </c>
      <c r="D90" s="94" t="s">
        <v>21</v>
      </c>
      <c r="E90" s="55">
        <f>1.2*1.25*0.16-E92</f>
        <v>0.02999999999999997</v>
      </c>
      <c r="F90" s="329">
        <f>PRODUCT(F85,E90)</f>
        <v>0.025199999999999976</v>
      </c>
      <c r="G90" s="335">
        <v>89.6</v>
      </c>
      <c r="H90" s="331">
        <f>PRODUCT(F90,G90)</f>
        <v>2.2579199999999977</v>
      </c>
      <c r="K90" s="323"/>
      <c r="L90" s="323"/>
      <c r="M90" s="326">
        <f>SUM(H90)</f>
        <v>2.2579199999999977</v>
      </c>
      <c r="N90" s="323"/>
      <c r="P90"/>
      <c r="Q90"/>
    </row>
    <row r="91" spans="1:17" s="325" customFormat="1" ht="12.75">
      <c r="A91" s="29"/>
      <c r="B91" s="69"/>
      <c r="C91" s="108" t="s">
        <v>24</v>
      </c>
      <c r="D91" s="94"/>
      <c r="E91" s="55"/>
      <c r="F91" s="329"/>
      <c r="G91" s="330"/>
      <c r="H91" s="331"/>
      <c r="I91" s="336">
        <f>SUM(H92:H93)</f>
        <v>84.487284</v>
      </c>
      <c r="P91"/>
      <c r="Q91"/>
    </row>
    <row r="92" spans="1:17" s="325" customFormat="1" ht="12.75">
      <c r="A92" s="29"/>
      <c r="B92" s="94">
        <v>400001</v>
      </c>
      <c r="C92" s="95" t="s">
        <v>83</v>
      </c>
      <c r="D92" s="94" t="s">
        <v>26</v>
      </c>
      <c r="E92" s="55">
        <f>1.2*1.25*0.14</f>
        <v>0.21000000000000002</v>
      </c>
      <c r="F92" s="329">
        <f>PRODUCT(F85,E92)</f>
        <v>0.1764</v>
      </c>
      <c r="G92" s="57">
        <v>444.37</v>
      </c>
      <c r="H92" s="331">
        <f>PRODUCT(F92,G92)</f>
        <v>78.386868</v>
      </c>
      <c r="P92"/>
      <c r="Q92"/>
    </row>
    <row r="93" spans="1:17" s="325" customFormat="1" ht="12.75">
      <c r="A93" s="29"/>
      <c r="B93" s="94">
        <v>31121</v>
      </c>
      <c r="C93" s="95" t="s">
        <v>82</v>
      </c>
      <c r="D93" s="94" t="s">
        <v>26</v>
      </c>
      <c r="E93" s="55">
        <f>1.2*1.25*0.02</f>
        <v>0.03</v>
      </c>
      <c r="F93" s="329">
        <f>PRODUCT(F85,E93)</f>
        <v>0.025199999999999997</v>
      </c>
      <c r="G93" s="67">
        <v>242.08</v>
      </c>
      <c r="H93" s="331">
        <f>PRODUCT(F93,G93)</f>
        <v>6.100415999999999</v>
      </c>
      <c r="P93"/>
      <c r="Q93"/>
    </row>
    <row r="94" spans="1:17" s="325" customFormat="1" ht="12.75">
      <c r="A94" s="29"/>
      <c r="B94" s="94">
        <v>4</v>
      </c>
      <c r="C94" s="108" t="s">
        <v>27</v>
      </c>
      <c r="D94" s="94"/>
      <c r="E94" s="55"/>
      <c r="F94" s="329"/>
      <c r="G94" s="330"/>
      <c r="H94" s="331"/>
      <c r="J94" s="336">
        <f>SUM(H95:H98)</f>
        <v>5444.372101056</v>
      </c>
      <c r="P94"/>
      <c r="Q94"/>
    </row>
    <row r="95" spans="1:17" s="325" customFormat="1" ht="12.75">
      <c r="A95" s="29"/>
      <c r="B95" s="94" t="s">
        <v>370</v>
      </c>
      <c r="C95" s="108" t="s">
        <v>102</v>
      </c>
      <c r="D95" s="94" t="s">
        <v>35</v>
      </c>
      <c r="E95" s="55">
        <v>0.069</v>
      </c>
      <c r="F95" s="329">
        <f>PRODUCT(F85,E95)</f>
        <v>0.057960000000000005</v>
      </c>
      <c r="G95" s="330">
        <v>86300</v>
      </c>
      <c r="H95" s="331">
        <f>PRODUCT(F95,G95)</f>
        <v>5001.948</v>
      </c>
      <c r="P95"/>
      <c r="Q95"/>
    </row>
    <row r="96" spans="1:17" s="325" customFormat="1" ht="12.75">
      <c r="A96" s="29"/>
      <c r="B96" s="94" t="s">
        <v>371</v>
      </c>
      <c r="C96" s="108" t="s">
        <v>372</v>
      </c>
      <c r="D96" s="94" t="s">
        <v>35</v>
      </c>
      <c r="E96" s="55">
        <v>0.037</v>
      </c>
      <c r="F96" s="329">
        <f>PRODUCT(F85,E96)</f>
        <v>0.031079999999999997</v>
      </c>
      <c r="G96" s="330">
        <v>14200</v>
      </c>
      <c r="H96" s="331">
        <f>PRODUCT(F96,G96)</f>
        <v>441.33599999999996</v>
      </c>
      <c r="I96" s="333"/>
      <c r="J96" s="333"/>
      <c r="K96" s="323"/>
      <c r="L96" s="323"/>
      <c r="M96" s="323"/>
      <c r="N96" s="334"/>
      <c r="O96" s="326"/>
      <c r="P96"/>
      <c r="Q96"/>
    </row>
    <row r="97" spans="1:17" s="325" customFormat="1" ht="12.75">
      <c r="A97" s="29"/>
      <c r="B97" s="94" t="s">
        <v>84</v>
      </c>
      <c r="C97" s="108" t="s">
        <v>85</v>
      </c>
      <c r="D97" s="94" t="s">
        <v>72</v>
      </c>
      <c r="E97" s="55">
        <v>0.36</v>
      </c>
      <c r="F97" s="329">
        <f>PRODUCT(F85,E97)</f>
        <v>0.3024</v>
      </c>
      <c r="G97" s="330">
        <v>3.28</v>
      </c>
      <c r="H97" s="331">
        <f>PRODUCT(F97,G97)</f>
        <v>0.991872</v>
      </c>
      <c r="I97" s="1"/>
      <c r="J97" s="1"/>
      <c r="K97" s="1"/>
      <c r="L97" s="37"/>
      <c r="M97" s="1"/>
      <c r="N97" s="1"/>
      <c r="O97"/>
      <c r="P97"/>
      <c r="Q97"/>
    </row>
    <row r="98" spans="1:17" s="325" customFormat="1" ht="12.75">
      <c r="A98" s="340"/>
      <c r="B98" s="341" t="s">
        <v>92</v>
      </c>
      <c r="C98" s="342" t="s">
        <v>373</v>
      </c>
      <c r="D98" s="341" t="s">
        <v>94</v>
      </c>
      <c r="E98" s="379">
        <v>0.00088</v>
      </c>
      <c r="F98" s="343">
        <f>PRODUCT(F85,E98)</f>
        <v>0.0007392</v>
      </c>
      <c r="G98" s="344">
        <v>130.18</v>
      </c>
      <c r="H98" s="345">
        <f>PRODUCT(F98,G98)</f>
        <v>0.09622905600000001</v>
      </c>
      <c r="I98" s="336"/>
      <c r="N98"/>
      <c r="O98"/>
      <c r="P98"/>
      <c r="Q98"/>
    </row>
    <row r="99" spans="1:16" s="13" customFormat="1" ht="12.75">
      <c r="A99" s="306"/>
      <c r="B99" s="307"/>
      <c r="C99" s="308" t="s">
        <v>365</v>
      </c>
      <c r="D99" s="307"/>
      <c r="E99" s="309"/>
      <c r="F99" s="310"/>
      <c r="G99" s="310"/>
      <c r="H99" s="311"/>
      <c r="I99" s="7"/>
      <c r="J99" s="7"/>
      <c r="K99" s="7"/>
      <c r="L99" s="7"/>
      <c r="M99" s="7"/>
      <c r="N99" s="7"/>
      <c r="O99" s="7"/>
      <c r="P99" s="7"/>
    </row>
    <row r="100" spans="1:14" s="27" customFormat="1" ht="25.5">
      <c r="A100" s="44">
        <v>1</v>
      </c>
      <c r="B100" s="38" t="s">
        <v>412</v>
      </c>
      <c r="C100" s="110" t="s">
        <v>411</v>
      </c>
      <c r="D100" s="90" t="s">
        <v>81</v>
      </c>
      <c r="E100" s="45"/>
      <c r="F100" s="111">
        <v>1.052</v>
      </c>
      <c r="G100" s="46"/>
      <c r="H100" s="68"/>
      <c r="I100" s="26"/>
      <c r="N100" s="28"/>
    </row>
    <row r="101" spans="1:18" s="325" customFormat="1" ht="12.75">
      <c r="A101" s="29"/>
      <c r="B101" s="30"/>
      <c r="C101" s="327" t="s">
        <v>18</v>
      </c>
      <c r="D101" s="328"/>
      <c r="E101" s="93">
        <f>94.5%*0.94</f>
        <v>0.8882999999999999</v>
      </c>
      <c r="F101" s="329"/>
      <c r="G101" s="330"/>
      <c r="H101" s="331"/>
      <c r="I101" s="37"/>
      <c r="J101" s="1"/>
      <c r="K101" s="1"/>
      <c r="L101" s="37"/>
      <c r="M101" s="1"/>
      <c r="N101" s="1"/>
      <c r="O101"/>
      <c r="Q101"/>
      <c r="R101"/>
    </row>
    <row r="102" spans="1:18" s="325" customFormat="1" ht="12.75">
      <c r="A102" s="29"/>
      <c r="B102" s="328"/>
      <c r="C102" s="327" t="s">
        <v>19</v>
      </c>
      <c r="D102" s="332"/>
      <c r="E102" s="93">
        <v>0.4675</v>
      </c>
      <c r="F102" s="329"/>
      <c r="G102" s="330"/>
      <c r="H102" s="40"/>
      <c r="I102" s="333"/>
      <c r="J102" s="333"/>
      <c r="K102" s="323"/>
      <c r="L102" s="323"/>
      <c r="M102" s="323"/>
      <c r="N102" s="334"/>
      <c r="O102" s="326">
        <f>SUM(H103:H105)*E102</f>
        <v>1361.76533185</v>
      </c>
      <c r="Q102"/>
      <c r="R102"/>
    </row>
    <row r="103" spans="1:14" s="27" customFormat="1" ht="12.75">
      <c r="A103" s="44"/>
      <c r="B103" s="32">
        <v>1</v>
      </c>
      <c r="C103" s="31" t="s">
        <v>20</v>
      </c>
      <c r="D103" s="32" t="s">
        <v>21</v>
      </c>
      <c r="E103" s="45">
        <f>0.7*50.15</f>
        <v>35.105</v>
      </c>
      <c r="F103" s="329">
        <f>PRODUCT(F100,E103)</f>
        <v>36.93046</v>
      </c>
      <c r="G103" s="46">
        <v>77.32</v>
      </c>
      <c r="H103" s="331">
        <f>PRODUCT(F103,G103)</f>
        <v>2855.4631671999996</v>
      </c>
      <c r="I103" s="333"/>
      <c r="J103" s="333"/>
      <c r="K103" s="323"/>
      <c r="L103" s="326">
        <f>SUM(H103)</f>
        <v>2855.4631671999996</v>
      </c>
      <c r="M103" s="323"/>
      <c r="N103" s="47"/>
    </row>
    <row r="104" spans="1:14" s="27" customFormat="1" ht="12.75">
      <c r="A104" s="44"/>
      <c r="B104" s="48">
        <v>39814</v>
      </c>
      <c r="C104" s="31" t="s">
        <v>22</v>
      </c>
      <c r="D104" s="32"/>
      <c r="E104" s="45">
        <v>3.6</v>
      </c>
      <c r="F104" s="329"/>
      <c r="G104" s="46"/>
      <c r="H104" s="36"/>
      <c r="I104" s="325"/>
      <c r="J104" s="325"/>
      <c r="K104" s="326">
        <f>SUM(H103:H105)*E101</f>
        <v>2587.4997738659995</v>
      </c>
      <c r="L104" s="323"/>
      <c r="M104" s="323"/>
      <c r="N104" s="47"/>
    </row>
    <row r="105" spans="1:14" s="27" customFormat="1" ht="12.75">
      <c r="A105" s="44"/>
      <c r="B105" s="32">
        <v>2</v>
      </c>
      <c r="C105" s="31" t="s">
        <v>23</v>
      </c>
      <c r="D105" s="32" t="s">
        <v>21</v>
      </c>
      <c r="E105" s="45">
        <f>0.7*0.87</f>
        <v>0.609</v>
      </c>
      <c r="F105" s="329">
        <f>PRODUCT(F100,E105)</f>
        <v>0.640668</v>
      </c>
      <c r="G105" s="335">
        <v>89.6</v>
      </c>
      <c r="H105" s="331">
        <f>PRODUCT(F105,G105)</f>
        <v>57.403852799999996</v>
      </c>
      <c r="I105" s="325"/>
      <c r="J105" s="325"/>
      <c r="K105" s="323"/>
      <c r="L105" s="323"/>
      <c r="M105" s="326">
        <f>SUM(H105)</f>
        <v>57.403852799999996</v>
      </c>
      <c r="N105" s="47"/>
    </row>
    <row r="106" spans="1:14" s="27" customFormat="1" ht="12.75">
      <c r="A106" s="44"/>
      <c r="B106" s="32">
        <v>3</v>
      </c>
      <c r="C106" s="31" t="s">
        <v>24</v>
      </c>
      <c r="D106" s="32"/>
      <c r="E106" s="45"/>
      <c r="F106" s="329"/>
      <c r="G106" s="34"/>
      <c r="H106" s="36"/>
      <c r="I106" s="49">
        <f>SUM(H107:H111)</f>
        <v>390.33861412</v>
      </c>
      <c r="K106" s="47"/>
      <c r="L106" s="47"/>
      <c r="M106" s="50"/>
      <c r="N106" s="47"/>
    </row>
    <row r="107" spans="1:15" s="27" customFormat="1" ht="12.75" customHeight="1">
      <c r="A107" s="44"/>
      <c r="B107" s="32">
        <v>31121</v>
      </c>
      <c r="C107" s="31" t="s">
        <v>139</v>
      </c>
      <c r="D107" s="32" t="s">
        <v>26</v>
      </c>
      <c r="E107" s="45">
        <f>0.7*0.11</f>
        <v>0.077</v>
      </c>
      <c r="F107" s="329">
        <f>PRODUCT(F100,E107)</f>
        <v>0.081004</v>
      </c>
      <c r="G107" s="46">
        <v>242.08</v>
      </c>
      <c r="H107" s="331">
        <f>PRODUCT(F107,G107)</f>
        <v>19.609448320000002</v>
      </c>
      <c r="I107" s="26"/>
      <c r="O107" s="51"/>
    </row>
    <row r="108" spans="1:15" s="27" customFormat="1" ht="12.75" customHeight="1">
      <c r="A108" s="44"/>
      <c r="B108" s="32">
        <v>330208</v>
      </c>
      <c r="C108" s="31" t="s">
        <v>413</v>
      </c>
      <c r="D108" s="32" t="s">
        <v>26</v>
      </c>
      <c r="E108" s="45">
        <f>0.7*0.14</f>
        <v>0.098</v>
      </c>
      <c r="F108" s="329">
        <f>PRODUCT(F100,E108)</f>
        <v>0.10309600000000001</v>
      </c>
      <c r="G108" s="46">
        <v>11.01</v>
      </c>
      <c r="H108" s="331">
        <f>PRODUCT(F108,G108)</f>
        <v>1.13508696</v>
      </c>
      <c r="J108" s="49"/>
      <c r="O108" s="51"/>
    </row>
    <row r="109" spans="1:15" s="27" customFormat="1" ht="12.75">
      <c r="A109" s="44"/>
      <c r="B109" s="32">
        <v>331531</v>
      </c>
      <c r="C109" s="31" t="s">
        <v>379</v>
      </c>
      <c r="D109" s="32" t="s">
        <v>26</v>
      </c>
      <c r="E109" s="45">
        <f>0.7*0.26</f>
        <v>0.182</v>
      </c>
      <c r="F109" s="46">
        <f>E109*F100</f>
        <v>0.191464</v>
      </c>
      <c r="G109" s="46">
        <v>13.6</v>
      </c>
      <c r="H109" s="331">
        <f>PRODUCT(F109,G109)</f>
        <v>2.6039103999999997</v>
      </c>
      <c r="O109" s="51"/>
    </row>
    <row r="110" spans="1:15" s="27" customFormat="1" ht="12.75" customHeight="1">
      <c r="A110" s="44"/>
      <c r="B110" s="32">
        <v>400001</v>
      </c>
      <c r="C110" s="31" t="s">
        <v>157</v>
      </c>
      <c r="D110" s="32" t="s">
        <v>26</v>
      </c>
      <c r="E110" s="45">
        <f>0.7*0.76</f>
        <v>0.5319999999999999</v>
      </c>
      <c r="F110" s="46">
        <f>E110*F100</f>
        <v>0.5596639999999999</v>
      </c>
      <c r="G110" s="57">
        <v>444.37</v>
      </c>
      <c r="H110" s="331">
        <f>PRODUCT(F110,G110)</f>
        <v>248.69789167999997</v>
      </c>
      <c r="J110" s="26"/>
      <c r="O110" s="51"/>
    </row>
    <row r="111" spans="1:15" s="27" customFormat="1" ht="12.75">
      <c r="A111" s="44"/>
      <c r="B111" s="32">
        <v>330206</v>
      </c>
      <c r="C111" s="31" t="s">
        <v>156</v>
      </c>
      <c r="D111" s="32" t="s">
        <v>26</v>
      </c>
      <c r="E111" s="45">
        <f>0.7*14.59</f>
        <v>10.213</v>
      </c>
      <c r="F111" s="46">
        <f>E111*F100</f>
        <v>10.744076</v>
      </c>
      <c r="G111" s="46">
        <v>11.01</v>
      </c>
      <c r="H111" s="331">
        <f>PRODUCT(F111,G111)</f>
        <v>118.29227676</v>
      </c>
      <c r="O111" s="51"/>
    </row>
    <row r="112" spans="1:14" s="27" customFormat="1" ht="76.5">
      <c r="A112" s="44">
        <v>2</v>
      </c>
      <c r="B112" s="38" t="s">
        <v>105</v>
      </c>
      <c r="C112" s="110" t="s">
        <v>106</v>
      </c>
      <c r="D112" s="38" t="s">
        <v>359</v>
      </c>
      <c r="E112" s="45"/>
      <c r="F112" s="111">
        <v>0.12</v>
      </c>
      <c r="G112" s="46"/>
      <c r="H112" s="68"/>
      <c r="I112" s="26"/>
      <c r="N112" s="28"/>
    </row>
    <row r="113" spans="1:22" s="13" customFormat="1" ht="12.75" customHeight="1">
      <c r="A113" s="29"/>
      <c r="B113" s="30"/>
      <c r="C113" s="31" t="s">
        <v>18</v>
      </c>
      <c r="D113" s="32"/>
      <c r="E113" s="33">
        <f>0.94*79%</f>
        <v>0.7426</v>
      </c>
      <c r="F113" s="34"/>
      <c r="G113" s="35"/>
      <c r="H113" s="36"/>
      <c r="I113" s="37"/>
      <c r="J113" s="1"/>
      <c r="K113" s="1"/>
      <c r="L113" s="37"/>
      <c r="M113" s="1"/>
      <c r="N113" s="1"/>
      <c r="O113"/>
      <c r="R113"/>
      <c r="S113"/>
      <c r="T113"/>
      <c r="U113"/>
      <c r="V113"/>
    </row>
    <row r="114" spans="1:22" s="13" customFormat="1" ht="12.75">
      <c r="A114" s="29"/>
      <c r="B114" s="32"/>
      <c r="C114" s="31" t="s">
        <v>19</v>
      </c>
      <c r="D114" s="38"/>
      <c r="E114" s="39">
        <v>0.5</v>
      </c>
      <c r="F114" s="34"/>
      <c r="G114" s="35"/>
      <c r="H114" s="40"/>
      <c r="I114" s="41"/>
      <c r="J114" s="41"/>
      <c r="K114" s="4"/>
      <c r="L114" s="4"/>
      <c r="M114" s="4"/>
      <c r="N114" s="42"/>
      <c r="O114" s="43">
        <f>SUM(H115:H117)*E114</f>
        <v>1024.7374499999999</v>
      </c>
      <c r="R114"/>
      <c r="S114"/>
      <c r="T114"/>
      <c r="U114"/>
      <c r="V114"/>
    </row>
    <row r="115" spans="1:14" s="27" customFormat="1" ht="12.75">
      <c r="A115" s="44"/>
      <c r="B115" s="32">
        <v>1</v>
      </c>
      <c r="C115" s="31" t="s">
        <v>20</v>
      </c>
      <c r="D115" s="32" t="s">
        <v>21</v>
      </c>
      <c r="E115" s="45">
        <v>228.35</v>
      </c>
      <c r="F115" s="46">
        <f>E115*F112</f>
        <v>27.401999999999997</v>
      </c>
      <c r="G115" s="46">
        <v>74.53</v>
      </c>
      <c r="H115" s="36">
        <f>PRODUCT(F115,G115)</f>
        <v>2042.2710599999998</v>
      </c>
      <c r="I115" s="41"/>
      <c r="J115" s="41"/>
      <c r="K115" s="4"/>
      <c r="L115" s="43">
        <f>SUM(H115)</f>
        <v>2042.2710599999998</v>
      </c>
      <c r="M115" s="4"/>
      <c r="N115" s="47"/>
    </row>
    <row r="116" spans="1:14" s="27" customFormat="1" ht="12.75">
      <c r="A116" s="44"/>
      <c r="B116" s="48"/>
      <c r="C116" s="31" t="s">
        <v>22</v>
      </c>
      <c r="D116" s="32"/>
      <c r="E116" s="45">
        <v>3.3</v>
      </c>
      <c r="F116" s="46"/>
      <c r="G116" s="46"/>
      <c r="H116" s="36"/>
      <c r="I116" s="7"/>
      <c r="J116" s="7"/>
      <c r="K116" s="43">
        <f>SUM(H115:H117)*E113</f>
        <v>1521.9400607399998</v>
      </c>
      <c r="L116" s="4"/>
      <c r="M116" s="4"/>
      <c r="N116" s="47"/>
    </row>
    <row r="117" spans="1:14" s="27" customFormat="1" ht="12.75">
      <c r="A117" s="44"/>
      <c r="B117" s="32">
        <v>2</v>
      </c>
      <c r="C117" s="31" t="s">
        <v>23</v>
      </c>
      <c r="D117" s="32" t="s">
        <v>21</v>
      </c>
      <c r="E117" s="45">
        <v>0.67</v>
      </c>
      <c r="F117" s="46">
        <f>E117*F112</f>
        <v>0.0804</v>
      </c>
      <c r="G117" s="34">
        <v>89.6</v>
      </c>
      <c r="H117" s="36">
        <f>PRODUCT(F117,G117)</f>
        <v>7.20384</v>
      </c>
      <c r="I117" s="7"/>
      <c r="J117" s="7"/>
      <c r="K117" s="4"/>
      <c r="L117" s="4"/>
      <c r="M117" s="43">
        <f>SUM(H117)</f>
        <v>7.20384</v>
      </c>
      <c r="N117" s="47"/>
    </row>
    <row r="118" spans="1:14" s="27" customFormat="1" ht="12.75">
      <c r="A118" s="44"/>
      <c r="B118" s="32">
        <v>3</v>
      </c>
      <c r="C118" s="31" t="s">
        <v>24</v>
      </c>
      <c r="D118" s="32"/>
      <c r="E118" s="45"/>
      <c r="F118" s="46"/>
      <c r="G118" s="34"/>
      <c r="H118" s="36"/>
      <c r="I118" s="49">
        <f>SUM(H119)</f>
        <v>19.463232</v>
      </c>
      <c r="K118" s="47"/>
      <c r="L118" s="47"/>
      <c r="M118" s="50"/>
      <c r="N118" s="47"/>
    </row>
    <row r="119" spans="1:15" s="27" customFormat="1" ht="12.75">
      <c r="A119" s="44"/>
      <c r="B119" s="32">
        <v>31121</v>
      </c>
      <c r="C119" s="31" t="s">
        <v>25</v>
      </c>
      <c r="D119" s="32" t="s">
        <v>26</v>
      </c>
      <c r="E119" s="45">
        <v>0.67</v>
      </c>
      <c r="F119" s="46">
        <f>E119*F112</f>
        <v>0.0804</v>
      </c>
      <c r="G119" s="46">
        <v>242.08</v>
      </c>
      <c r="H119" s="36">
        <f>PRODUCT(F119,G119)</f>
        <v>19.463232</v>
      </c>
      <c r="I119" s="26"/>
      <c r="O119" s="51"/>
    </row>
    <row r="120" spans="1:15" s="27" customFormat="1" ht="12.75">
      <c r="A120" s="44"/>
      <c r="B120" s="32">
        <v>4</v>
      </c>
      <c r="C120" s="31" t="s">
        <v>27</v>
      </c>
      <c r="D120" s="32"/>
      <c r="E120" s="45"/>
      <c r="F120" s="46"/>
      <c r="G120" s="46"/>
      <c r="H120" s="36"/>
      <c r="J120" s="49">
        <f>SUM(H121:H123)</f>
        <v>812.7477600000001</v>
      </c>
      <c r="O120" s="51"/>
    </row>
    <row r="121" spans="1:15" s="27" customFormat="1" ht="25.5">
      <c r="A121" s="44"/>
      <c r="B121" s="32" t="s">
        <v>28</v>
      </c>
      <c r="C121" s="31" t="s">
        <v>29</v>
      </c>
      <c r="D121" s="32" t="s">
        <v>30</v>
      </c>
      <c r="E121" s="45">
        <v>2.2</v>
      </c>
      <c r="F121" s="46">
        <f>E121*F112</f>
        <v>0.264</v>
      </c>
      <c r="G121" s="46">
        <v>3078.59</v>
      </c>
      <c r="H121" s="36">
        <f>PRODUCT(F121,G121)</f>
        <v>812.7477600000001</v>
      </c>
      <c r="O121" s="51"/>
    </row>
    <row r="122" spans="1:15" s="27" customFormat="1" ht="12.75">
      <c r="A122" s="44"/>
      <c r="B122" s="32" t="s">
        <v>31</v>
      </c>
      <c r="C122" s="31" t="s">
        <v>32</v>
      </c>
      <c r="D122" s="32" t="s">
        <v>30</v>
      </c>
      <c r="E122" s="45">
        <v>0.35</v>
      </c>
      <c r="F122" s="46">
        <f>E122*F112</f>
        <v>0.041999999999999996</v>
      </c>
      <c r="G122" s="46">
        <v>0</v>
      </c>
      <c r="H122" s="36">
        <f>PRODUCT(F122,G122)</f>
        <v>0</v>
      </c>
      <c r="J122" s="26"/>
      <c r="O122" s="51"/>
    </row>
    <row r="123" spans="1:15" s="27" customFormat="1" ht="12.75">
      <c r="A123" s="44"/>
      <c r="B123" s="32" t="s">
        <v>33</v>
      </c>
      <c r="C123" s="31" t="s">
        <v>34</v>
      </c>
      <c r="D123" s="32" t="s">
        <v>35</v>
      </c>
      <c r="E123" s="45">
        <v>3.38</v>
      </c>
      <c r="F123" s="46">
        <f>E123*F112</f>
        <v>0.40559999999999996</v>
      </c>
      <c r="G123" s="46">
        <v>0</v>
      </c>
      <c r="H123" s="36">
        <f>PRODUCT(F123,G123)</f>
        <v>0</v>
      </c>
      <c r="N123" s="27">
        <f>F123</f>
        <v>0.40559999999999996</v>
      </c>
      <c r="O123" s="51"/>
    </row>
    <row r="124" spans="1:13" ht="38.25">
      <c r="A124" s="73">
        <v>3</v>
      </c>
      <c r="B124" s="112" t="s">
        <v>107</v>
      </c>
      <c r="C124" s="113" t="s">
        <v>108</v>
      </c>
      <c r="D124" s="114" t="s">
        <v>359</v>
      </c>
      <c r="E124" s="103"/>
      <c r="F124" s="115">
        <v>0.648</v>
      </c>
      <c r="G124" s="66"/>
      <c r="H124" s="116"/>
      <c r="M124" s="86"/>
    </row>
    <row r="125" spans="1:16" ht="12.75">
      <c r="A125" s="117"/>
      <c r="B125" s="32" t="s">
        <v>109</v>
      </c>
      <c r="C125" s="35" t="s">
        <v>18</v>
      </c>
      <c r="D125" s="98"/>
      <c r="E125" s="118">
        <f>0.94*106.2%</f>
        <v>0.99828</v>
      </c>
      <c r="F125" s="119"/>
      <c r="G125" s="91"/>
      <c r="H125" s="40"/>
      <c r="I125" s="120"/>
      <c r="J125" s="120"/>
      <c r="K125" s="120"/>
      <c r="L125" s="120"/>
      <c r="M125" s="120"/>
      <c r="N125" s="120"/>
      <c r="O125" s="120"/>
      <c r="P125" s="120"/>
    </row>
    <row r="126" spans="1:16" ht="12.75">
      <c r="A126" s="44"/>
      <c r="B126" s="32" t="s">
        <v>39</v>
      </c>
      <c r="C126" s="31" t="s">
        <v>19</v>
      </c>
      <c r="D126" s="38"/>
      <c r="E126" s="33">
        <v>0.5355</v>
      </c>
      <c r="F126" s="115"/>
      <c r="G126" s="46"/>
      <c r="H126" s="40"/>
      <c r="I126" s="121"/>
      <c r="J126" s="121"/>
      <c r="K126" s="47"/>
      <c r="L126" s="47"/>
      <c r="M126" s="47"/>
      <c r="N126" s="122"/>
      <c r="O126" s="50">
        <f>SUM(H127:H129)*E126</f>
        <v>3183.3399513383993</v>
      </c>
      <c r="P126" s="120"/>
    </row>
    <row r="127" spans="1:14" ht="12.75">
      <c r="A127" s="73"/>
      <c r="B127" s="101">
        <v>1</v>
      </c>
      <c r="C127" s="102" t="s">
        <v>20</v>
      </c>
      <c r="D127" s="101" t="s">
        <v>21</v>
      </c>
      <c r="E127" s="103">
        <f>1.2*1.15*87</f>
        <v>120.05999999999999</v>
      </c>
      <c r="F127" s="67">
        <f>E127*F124</f>
        <v>77.79888</v>
      </c>
      <c r="G127" s="46">
        <v>76.41</v>
      </c>
      <c r="H127" s="72">
        <f>PRODUCT(F127,G127)</f>
        <v>5944.612420799999</v>
      </c>
      <c r="I127" s="1"/>
      <c r="J127" s="1"/>
      <c r="K127" s="1"/>
      <c r="L127" s="37">
        <f>SUM(H127)</f>
        <v>5944.612420799999</v>
      </c>
      <c r="M127" s="1"/>
      <c r="N127" s="1"/>
    </row>
    <row r="128" spans="1:14" ht="12.75">
      <c r="A128" s="73"/>
      <c r="B128" s="123"/>
      <c r="C128" s="102" t="s">
        <v>22</v>
      </c>
      <c r="D128" s="101"/>
      <c r="E128" s="103">
        <v>3.5</v>
      </c>
      <c r="F128" s="67"/>
      <c r="G128" s="67"/>
      <c r="H128" s="72"/>
      <c r="I128" s="1"/>
      <c r="J128" s="1"/>
      <c r="K128" s="37">
        <f>SUM(H127:H129)*E125</f>
        <v>5934.387687436223</v>
      </c>
      <c r="L128" s="1"/>
      <c r="M128" s="1"/>
      <c r="N128" s="1"/>
    </row>
    <row r="129" spans="1:16" ht="12.75">
      <c r="A129" s="73"/>
      <c r="B129" s="101">
        <v>3</v>
      </c>
      <c r="C129" s="102" t="s">
        <v>24</v>
      </c>
      <c r="D129" s="101"/>
      <c r="E129" s="103"/>
      <c r="F129" s="67"/>
      <c r="G129" s="46"/>
      <c r="H129" s="72"/>
      <c r="I129" s="124">
        <f>SUM(H130:H132)</f>
        <v>41.7400128</v>
      </c>
      <c r="J129" s="1"/>
      <c r="K129" s="1"/>
      <c r="L129" s="1"/>
      <c r="M129" s="37"/>
      <c r="N129" s="1"/>
      <c r="O129"/>
      <c r="P129"/>
    </row>
    <row r="130" spans="1:16" s="120" customFormat="1" ht="12.75">
      <c r="A130" s="73"/>
      <c r="B130" s="101">
        <v>330208</v>
      </c>
      <c r="C130" s="102" t="s">
        <v>40</v>
      </c>
      <c r="D130" s="101" t="s">
        <v>26</v>
      </c>
      <c r="E130" s="103">
        <f>1.2*1.25*2.2</f>
        <v>3.3000000000000003</v>
      </c>
      <c r="F130" s="67">
        <f>E130*F124</f>
        <v>2.1384000000000003</v>
      </c>
      <c r="G130" s="66">
        <v>11.01</v>
      </c>
      <c r="H130" s="72">
        <f>PRODUCT(F130,G130)</f>
        <v>23.543784000000002</v>
      </c>
      <c r="I130" s="125"/>
      <c r="J130" s="126"/>
      <c r="K130"/>
      <c r="L130"/>
      <c r="M130"/>
      <c r="N130"/>
      <c r="O130" s="127"/>
      <c r="P130"/>
    </row>
    <row r="131" spans="1:16" s="120" customFormat="1" ht="12.75">
      <c r="A131" s="73"/>
      <c r="B131" s="101">
        <v>330901</v>
      </c>
      <c r="C131" s="102" t="s">
        <v>41</v>
      </c>
      <c r="D131" s="101" t="s">
        <v>26</v>
      </c>
      <c r="E131" s="103">
        <f>1.2*1.25*0.38</f>
        <v>0.5700000000000001</v>
      </c>
      <c r="F131" s="67">
        <f>E131*F124</f>
        <v>0.3693600000000001</v>
      </c>
      <c r="G131" s="67">
        <v>18.03</v>
      </c>
      <c r="H131" s="72">
        <f>PRODUCT(F131,G131)</f>
        <v>6.659560800000002</v>
      </c>
      <c r="I131" s="126"/>
      <c r="J131" s="126"/>
      <c r="K131"/>
      <c r="L131"/>
      <c r="M131"/>
      <c r="N131"/>
      <c r="O131" s="127"/>
      <c r="P131" s="7"/>
    </row>
    <row r="132" spans="1:15" ht="12.75">
      <c r="A132" s="73"/>
      <c r="B132" s="101">
        <v>331451</v>
      </c>
      <c r="C132" s="102" t="s">
        <v>42</v>
      </c>
      <c r="D132" s="101" t="s">
        <v>26</v>
      </c>
      <c r="E132" s="103">
        <f>1.2*1.25*1.1</f>
        <v>1.6500000000000001</v>
      </c>
      <c r="F132" s="67">
        <f>E132*F124</f>
        <v>1.0692000000000002</v>
      </c>
      <c r="G132" s="67">
        <v>10.79</v>
      </c>
      <c r="H132" s="72">
        <f>PRODUCT(F132,G132)</f>
        <v>11.536668</v>
      </c>
      <c r="I132" s="126"/>
      <c r="J132" s="126"/>
      <c r="K132"/>
      <c r="L132"/>
      <c r="M132"/>
      <c r="N132"/>
      <c r="O132" s="127"/>
    </row>
    <row r="133" spans="1:15" ht="12.75">
      <c r="A133" s="73"/>
      <c r="B133" s="101">
        <v>4</v>
      </c>
      <c r="C133" s="102" t="s">
        <v>27</v>
      </c>
      <c r="D133" s="101"/>
      <c r="E133" s="103"/>
      <c r="F133" s="67"/>
      <c r="G133" s="67"/>
      <c r="H133" s="72"/>
      <c r="I133" s="128"/>
      <c r="J133" s="129">
        <f>SUM(H134:H149)</f>
        <v>21800.404799999997</v>
      </c>
      <c r="K133" s="128"/>
      <c r="L133" s="128"/>
      <c r="M133" s="128"/>
      <c r="N133" s="127"/>
      <c r="O133"/>
    </row>
    <row r="134" spans="1:15" ht="12.75">
      <c r="A134" s="73"/>
      <c r="B134" s="101" t="s">
        <v>46</v>
      </c>
      <c r="C134" s="102" t="s">
        <v>47</v>
      </c>
      <c r="D134" s="101" t="s">
        <v>45</v>
      </c>
      <c r="E134" s="103">
        <v>77</v>
      </c>
      <c r="F134" s="67">
        <f>E134*F124</f>
        <v>49.896</v>
      </c>
      <c r="G134" s="57">
        <v>21</v>
      </c>
      <c r="H134" s="72">
        <f aca="true" t="shared" si="1" ref="H134:H149">PRODUCT(F134,G134)</f>
        <v>1047.816</v>
      </c>
      <c r="I134"/>
      <c r="J134"/>
      <c r="K134"/>
      <c r="L134"/>
      <c r="M134"/>
      <c r="N134"/>
      <c r="O134"/>
    </row>
    <row r="135" spans="1:15" ht="12.75">
      <c r="A135" s="73"/>
      <c r="B135" s="101" t="s">
        <v>43</v>
      </c>
      <c r="C135" s="102" t="s">
        <v>44</v>
      </c>
      <c r="D135" s="101" t="s">
        <v>45</v>
      </c>
      <c r="E135" s="103">
        <v>269</v>
      </c>
      <c r="F135" s="67">
        <f>E135*F124</f>
        <v>174.312</v>
      </c>
      <c r="G135" s="80">
        <v>25</v>
      </c>
      <c r="H135" s="72">
        <f t="shared" si="1"/>
        <v>4357.8</v>
      </c>
      <c r="I135" s="37"/>
      <c r="J135" s="37"/>
      <c r="K135" s="1"/>
      <c r="L135" s="1"/>
      <c r="M135" s="1"/>
      <c r="N135" s="130"/>
      <c r="O135"/>
    </row>
    <row r="136" spans="1:15" ht="12.75" customHeight="1">
      <c r="A136" s="73"/>
      <c r="B136" s="101" t="s">
        <v>110</v>
      </c>
      <c r="C136" s="102" t="s">
        <v>111</v>
      </c>
      <c r="D136" s="101" t="s">
        <v>45</v>
      </c>
      <c r="E136" s="103">
        <v>46</v>
      </c>
      <c r="F136" s="67">
        <f>E136*F124</f>
        <v>29.808</v>
      </c>
      <c r="G136" s="80">
        <v>23</v>
      </c>
      <c r="H136" s="72">
        <f t="shared" si="1"/>
        <v>685.584</v>
      </c>
      <c r="I136" s="37"/>
      <c r="J136" s="1"/>
      <c r="K136" s="1"/>
      <c r="L136" s="1"/>
      <c r="M136" s="1"/>
      <c r="N136" s="130"/>
      <c r="O136" s="37"/>
    </row>
    <row r="137" spans="1:17" ht="12.75">
      <c r="A137" s="73"/>
      <c r="B137" s="101" t="s">
        <v>64</v>
      </c>
      <c r="C137" s="102" t="s">
        <v>65</v>
      </c>
      <c r="D137" s="101" t="s">
        <v>45</v>
      </c>
      <c r="E137" s="103">
        <v>93</v>
      </c>
      <c r="F137" s="67">
        <f>E137*F124</f>
        <v>60.264</v>
      </c>
      <c r="G137" s="67">
        <v>6.3</v>
      </c>
      <c r="H137" s="72">
        <f t="shared" si="1"/>
        <v>379.6632</v>
      </c>
      <c r="I137" s="37"/>
      <c r="J137" s="1"/>
      <c r="K137" s="1"/>
      <c r="L137" s="37"/>
      <c r="M137" s="1"/>
      <c r="N137" s="1"/>
      <c r="O137"/>
      <c r="Q137"/>
    </row>
    <row r="138" spans="1:17" ht="12.75" customHeight="1">
      <c r="A138" s="73"/>
      <c r="B138" s="101" t="s">
        <v>59</v>
      </c>
      <c r="C138" s="102" t="s">
        <v>112</v>
      </c>
      <c r="D138" s="101" t="s">
        <v>50</v>
      </c>
      <c r="E138" s="103">
        <v>335</v>
      </c>
      <c r="F138" s="67">
        <f>E138*F124</f>
        <v>217.08</v>
      </c>
      <c r="G138" s="67">
        <v>1.6</v>
      </c>
      <c r="H138" s="72">
        <f t="shared" si="1"/>
        <v>347.32800000000003</v>
      </c>
      <c r="I138" s="37"/>
      <c r="J138" s="1"/>
      <c r="K138" s="1"/>
      <c r="L138" s="37"/>
      <c r="M138" s="1"/>
      <c r="N138" s="1"/>
      <c r="O138"/>
      <c r="Q138"/>
    </row>
    <row r="139" spans="1:17" ht="12.75">
      <c r="A139" s="73"/>
      <c r="B139" s="101" t="s">
        <v>113</v>
      </c>
      <c r="C139" s="131" t="s">
        <v>114</v>
      </c>
      <c r="D139" s="132" t="s">
        <v>50</v>
      </c>
      <c r="E139" s="133">
        <v>240</v>
      </c>
      <c r="F139" s="67">
        <f>E139*F124</f>
        <v>155.52</v>
      </c>
      <c r="G139" s="59">
        <v>5.5</v>
      </c>
      <c r="H139" s="72">
        <f t="shared" si="1"/>
        <v>855.36</v>
      </c>
      <c r="I139" s="37"/>
      <c r="J139" s="1"/>
      <c r="K139" s="1"/>
      <c r="L139" s="37"/>
      <c r="M139" s="1"/>
      <c r="N139" s="1"/>
      <c r="O139"/>
      <c r="Q139"/>
    </row>
    <row r="140" spans="1:17" ht="12.75">
      <c r="A140" s="73"/>
      <c r="B140" s="101" t="s">
        <v>115</v>
      </c>
      <c r="C140" s="102" t="s">
        <v>116</v>
      </c>
      <c r="D140" s="101" t="s">
        <v>50</v>
      </c>
      <c r="E140" s="103">
        <v>116</v>
      </c>
      <c r="F140" s="67">
        <f>E140*F124</f>
        <v>75.168</v>
      </c>
      <c r="G140" s="67">
        <v>6.7</v>
      </c>
      <c r="H140" s="72">
        <f t="shared" si="1"/>
        <v>503.6256000000001</v>
      </c>
      <c r="I140" s="1"/>
      <c r="J140" s="1"/>
      <c r="K140" s="37"/>
      <c r="L140" s="1"/>
      <c r="M140" s="1"/>
      <c r="N140" s="1"/>
      <c r="O140"/>
      <c r="Q140"/>
    </row>
    <row r="141" spans="1:17" ht="12.75">
      <c r="A141" s="73"/>
      <c r="B141" s="101" t="s">
        <v>117</v>
      </c>
      <c r="C141" s="134" t="s">
        <v>118</v>
      </c>
      <c r="D141" s="101" t="s">
        <v>119</v>
      </c>
      <c r="E141" s="103">
        <v>107</v>
      </c>
      <c r="F141" s="67">
        <f>E141*F124</f>
        <v>69.336</v>
      </c>
      <c r="G141" s="67">
        <v>158</v>
      </c>
      <c r="H141" s="72">
        <f t="shared" si="1"/>
        <v>10955.088</v>
      </c>
      <c r="I141" s="125"/>
      <c r="J141" s="1"/>
      <c r="K141" s="1"/>
      <c r="L141" s="1"/>
      <c r="M141" s="37"/>
      <c r="N141" s="1"/>
      <c r="O141"/>
      <c r="Q141"/>
    </row>
    <row r="142" spans="1:16" ht="12.75">
      <c r="A142" s="73"/>
      <c r="B142" s="101" t="s">
        <v>123</v>
      </c>
      <c r="C142" s="102" t="s">
        <v>67</v>
      </c>
      <c r="D142" s="101" t="s">
        <v>50</v>
      </c>
      <c r="E142" s="103">
        <v>829</v>
      </c>
      <c r="F142" s="67">
        <f>E142*F124</f>
        <v>537.192</v>
      </c>
      <c r="G142" s="67">
        <v>0.15</v>
      </c>
      <c r="H142" s="72">
        <f t="shared" si="1"/>
        <v>80.5788</v>
      </c>
      <c r="I142" s="126"/>
      <c r="P142" s="7"/>
    </row>
    <row r="143" spans="1:15" ht="12.75">
      <c r="A143" s="73"/>
      <c r="B143" s="101" t="s">
        <v>124</v>
      </c>
      <c r="C143" s="102" t="s">
        <v>69</v>
      </c>
      <c r="D143" s="101" t="s">
        <v>50</v>
      </c>
      <c r="E143" s="103">
        <v>1855</v>
      </c>
      <c r="F143" s="67">
        <f>E143*F124</f>
        <v>1202.04</v>
      </c>
      <c r="G143" s="67">
        <v>0.25</v>
      </c>
      <c r="H143" s="72">
        <f t="shared" si="1"/>
        <v>300.51</v>
      </c>
      <c r="I143" s="126"/>
      <c r="J143" s="126"/>
      <c r="O143" s="127"/>
    </row>
    <row r="144" spans="1:16" ht="12.75">
      <c r="A144" s="73"/>
      <c r="B144" s="101" t="s">
        <v>125</v>
      </c>
      <c r="C144" s="102" t="s">
        <v>126</v>
      </c>
      <c r="D144" s="101" t="s">
        <v>127</v>
      </c>
      <c r="E144" s="103">
        <v>60</v>
      </c>
      <c r="F144" s="67">
        <f>E144*F124</f>
        <v>38.88</v>
      </c>
      <c r="G144" s="57">
        <v>14.8</v>
      </c>
      <c r="H144" s="72">
        <f t="shared" si="1"/>
        <v>575.4240000000001</v>
      </c>
      <c r="P144" s="7"/>
    </row>
    <row r="145" spans="1:16" ht="12.75">
      <c r="A145" s="73"/>
      <c r="B145" s="101" t="s">
        <v>128</v>
      </c>
      <c r="C145" s="102" t="s">
        <v>71</v>
      </c>
      <c r="D145" s="101" t="s">
        <v>127</v>
      </c>
      <c r="E145" s="103">
        <v>45</v>
      </c>
      <c r="F145" s="67">
        <f>E145*F124</f>
        <v>29.16</v>
      </c>
      <c r="G145" s="80">
        <v>15.6</v>
      </c>
      <c r="H145" s="72">
        <f t="shared" si="1"/>
        <v>454.896</v>
      </c>
      <c r="I145" s="37"/>
      <c r="J145" s="37"/>
      <c r="K145" s="1"/>
      <c r="L145" s="1"/>
      <c r="M145" s="1"/>
      <c r="N145" s="130"/>
      <c r="P145" s="7"/>
    </row>
    <row r="146" spans="1:15" ht="12.75">
      <c r="A146" s="73"/>
      <c r="B146" s="101" t="s">
        <v>129</v>
      </c>
      <c r="C146" s="102" t="s">
        <v>130</v>
      </c>
      <c r="D146" s="101" t="s">
        <v>63</v>
      </c>
      <c r="E146" s="103">
        <v>120</v>
      </c>
      <c r="F146" s="67">
        <f>E146*F124</f>
        <v>77.76</v>
      </c>
      <c r="G146" s="80">
        <v>12</v>
      </c>
      <c r="H146" s="72">
        <f t="shared" si="1"/>
        <v>933.1200000000001</v>
      </c>
      <c r="I146" s="37"/>
      <c r="J146" s="1"/>
      <c r="K146" s="1"/>
      <c r="L146" s="1"/>
      <c r="M146" s="1"/>
      <c r="N146" s="130"/>
      <c r="O146" s="37"/>
    </row>
    <row r="147" spans="1:16" ht="12.75">
      <c r="A147" s="73"/>
      <c r="B147" s="101" t="s">
        <v>131</v>
      </c>
      <c r="C147" s="102" t="s">
        <v>76</v>
      </c>
      <c r="D147" s="101" t="s">
        <v>63</v>
      </c>
      <c r="E147" s="103">
        <v>44</v>
      </c>
      <c r="F147" s="67">
        <f>E147*F124</f>
        <v>28.512</v>
      </c>
      <c r="G147" s="67">
        <v>2.6</v>
      </c>
      <c r="H147" s="72">
        <f t="shared" si="1"/>
        <v>74.1312</v>
      </c>
      <c r="I147" s="37"/>
      <c r="J147" s="1"/>
      <c r="K147" s="1"/>
      <c r="L147" s="37"/>
      <c r="M147" s="1"/>
      <c r="N147" s="1"/>
      <c r="P147" s="7"/>
    </row>
    <row r="148" spans="1:16" ht="12.75">
      <c r="A148" s="73"/>
      <c r="B148" s="101" t="s">
        <v>132</v>
      </c>
      <c r="C148" s="102" t="s">
        <v>133</v>
      </c>
      <c r="D148" s="101" t="s">
        <v>50</v>
      </c>
      <c r="E148" s="103">
        <v>7</v>
      </c>
      <c r="F148" s="67">
        <f>E148*F124</f>
        <v>4.5360000000000005</v>
      </c>
      <c r="G148" s="67">
        <v>55</v>
      </c>
      <c r="H148" s="72">
        <f t="shared" si="1"/>
        <v>249.48000000000002</v>
      </c>
      <c r="I148" s="37"/>
      <c r="J148" s="1"/>
      <c r="K148" s="1"/>
      <c r="L148" s="37"/>
      <c r="M148" s="1"/>
      <c r="N148" s="1"/>
      <c r="P148" s="7"/>
    </row>
    <row r="149" spans="1:16" ht="12.75">
      <c r="A149" s="73"/>
      <c r="B149" s="101" t="s">
        <v>134</v>
      </c>
      <c r="C149" s="131" t="s">
        <v>78</v>
      </c>
      <c r="D149" s="132" t="s">
        <v>127</v>
      </c>
      <c r="E149" s="133">
        <v>11</v>
      </c>
      <c r="F149" s="67">
        <f>E149*F124</f>
        <v>7.128</v>
      </c>
      <c r="G149" s="59">
        <v>0</v>
      </c>
      <c r="H149" s="72">
        <f t="shared" si="1"/>
        <v>0</v>
      </c>
      <c r="I149" s="37"/>
      <c r="J149" s="1"/>
      <c r="K149" s="1"/>
      <c r="L149" s="37"/>
      <c r="M149" s="1"/>
      <c r="N149" s="1"/>
      <c r="P149" s="7"/>
    </row>
    <row r="150" spans="1:13" ht="51">
      <c r="A150" s="73">
        <v>4</v>
      </c>
      <c r="B150" s="112" t="s">
        <v>107</v>
      </c>
      <c r="C150" s="113" t="s">
        <v>414</v>
      </c>
      <c r="D150" s="114" t="s">
        <v>359</v>
      </c>
      <c r="E150" s="103"/>
      <c r="F150" s="115">
        <v>0.5</v>
      </c>
      <c r="G150" s="66"/>
      <c r="H150" s="116"/>
      <c r="M150" s="86"/>
    </row>
    <row r="151" spans="1:16" ht="12.75">
      <c r="A151" s="117"/>
      <c r="B151" s="32" t="s">
        <v>109</v>
      </c>
      <c r="C151" s="35" t="s">
        <v>18</v>
      </c>
      <c r="D151" s="98"/>
      <c r="E151" s="118">
        <f>0.94*106.2%</f>
        <v>0.99828</v>
      </c>
      <c r="F151" s="119"/>
      <c r="G151" s="91"/>
      <c r="H151" s="40"/>
      <c r="I151" s="120"/>
      <c r="J151" s="120"/>
      <c r="K151" s="120"/>
      <c r="L151" s="120"/>
      <c r="M151" s="120"/>
      <c r="N151" s="120"/>
      <c r="O151" s="120"/>
      <c r="P151" s="120"/>
    </row>
    <row r="152" spans="1:16" ht="12.75">
      <c r="A152" s="44"/>
      <c r="B152" s="32" t="s">
        <v>39</v>
      </c>
      <c r="C152" s="31" t="s">
        <v>19</v>
      </c>
      <c r="D152" s="38"/>
      <c r="E152" s="33">
        <v>0.5355</v>
      </c>
      <c r="F152" s="115"/>
      <c r="G152" s="46"/>
      <c r="H152" s="40"/>
      <c r="I152" s="121"/>
      <c r="J152" s="121"/>
      <c r="K152" s="47"/>
      <c r="L152" s="47"/>
      <c r="M152" s="47"/>
      <c r="N152" s="122"/>
      <c r="O152" s="50">
        <f>SUM(H153:H155)*E152</f>
        <v>2456.2808266499997</v>
      </c>
      <c r="P152" s="120"/>
    </row>
    <row r="153" spans="1:14" ht="12.75">
      <c r="A153" s="73"/>
      <c r="B153" s="101">
        <v>1</v>
      </c>
      <c r="C153" s="102" t="s">
        <v>20</v>
      </c>
      <c r="D153" s="101" t="s">
        <v>21</v>
      </c>
      <c r="E153" s="103">
        <f>1.2*1.15*87</f>
        <v>120.05999999999999</v>
      </c>
      <c r="F153" s="67">
        <f>E153*F150</f>
        <v>60.029999999999994</v>
      </c>
      <c r="G153" s="46">
        <v>76.41</v>
      </c>
      <c r="H153" s="72">
        <f>PRODUCT(F153,G153)</f>
        <v>4586.8922999999995</v>
      </c>
      <c r="I153" s="1"/>
      <c r="J153" s="1"/>
      <c r="K153" s="1"/>
      <c r="L153" s="37">
        <f>SUM(H153)</f>
        <v>4586.8922999999995</v>
      </c>
      <c r="M153" s="1"/>
      <c r="N153" s="1"/>
    </row>
    <row r="154" spans="1:14" ht="12.75">
      <c r="A154" s="73"/>
      <c r="B154" s="123"/>
      <c r="C154" s="102" t="s">
        <v>22</v>
      </c>
      <c r="D154" s="101"/>
      <c r="E154" s="103">
        <v>3.5</v>
      </c>
      <c r="F154" s="67"/>
      <c r="G154" s="67"/>
      <c r="H154" s="72"/>
      <c r="I154" s="1"/>
      <c r="J154" s="1"/>
      <c r="K154" s="37">
        <f>SUM(H153:H155)*E151</f>
        <v>4579.002845243999</v>
      </c>
      <c r="L154" s="1"/>
      <c r="M154" s="1"/>
      <c r="N154" s="1"/>
    </row>
    <row r="155" spans="1:16" ht="12.75">
      <c r="A155" s="73"/>
      <c r="B155" s="101">
        <v>3</v>
      </c>
      <c r="C155" s="102" t="s">
        <v>24</v>
      </c>
      <c r="D155" s="101"/>
      <c r="E155" s="103"/>
      <c r="F155" s="67"/>
      <c r="G155" s="46"/>
      <c r="H155" s="72"/>
      <c r="I155" s="124">
        <f>SUM(H156:H158)</f>
        <v>32.2068</v>
      </c>
      <c r="J155" s="1"/>
      <c r="K155" s="1"/>
      <c r="L155" s="1"/>
      <c r="M155" s="37"/>
      <c r="N155" s="1"/>
      <c r="O155"/>
      <c r="P155"/>
    </row>
    <row r="156" spans="1:16" s="120" customFormat="1" ht="12.75">
      <c r="A156" s="73"/>
      <c r="B156" s="101">
        <v>330208</v>
      </c>
      <c r="C156" s="102" t="s">
        <v>40</v>
      </c>
      <c r="D156" s="101" t="s">
        <v>26</v>
      </c>
      <c r="E156" s="103">
        <f>1.2*1.25*2.2</f>
        <v>3.3000000000000003</v>
      </c>
      <c r="F156" s="67">
        <f>E156*F150</f>
        <v>1.6500000000000001</v>
      </c>
      <c r="G156" s="66">
        <v>11.01</v>
      </c>
      <c r="H156" s="72">
        <f>PRODUCT(F156,G156)</f>
        <v>18.166500000000003</v>
      </c>
      <c r="I156" s="125"/>
      <c r="J156" s="126"/>
      <c r="K156"/>
      <c r="L156"/>
      <c r="M156"/>
      <c r="N156"/>
      <c r="O156" s="127"/>
      <c r="P156"/>
    </row>
    <row r="157" spans="1:16" s="120" customFormat="1" ht="12.75">
      <c r="A157" s="73"/>
      <c r="B157" s="101">
        <v>330901</v>
      </c>
      <c r="C157" s="102" t="s">
        <v>41</v>
      </c>
      <c r="D157" s="101" t="s">
        <v>26</v>
      </c>
      <c r="E157" s="103">
        <f>1.2*1.25*0.38</f>
        <v>0.5700000000000001</v>
      </c>
      <c r="F157" s="67">
        <f>E157*F150</f>
        <v>0.28500000000000003</v>
      </c>
      <c r="G157" s="67">
        <v>18.03</v>
      </c>
      <c r="H157" s="72">
        <f>PRODUCT(F157,G157)</f>
        <v>5.138550000000001</v>
      </c>
      <c r="I157" s="126"/>
      <c r="J157" s="126"/>
      <c r="K157"/>
      <c r="L157"/>
      <c r="M157"/>
      <c r="N157"/>
      <c r="O157" s="127"/>
      <c r="P157" s="7"/>
    </row>
    <row r="158" spans="1:15" ht="12.75">
      <c r="A158" s="73"/>
      <c r="B158" s="101">
        <v>331451</v>
      </c>
      <c r="C158" s="102" t="s">
        <v>42</v>
      </c>
      <c r="D158" s="101" t="s">
        <v>26</v>
      </c>
      <c r="E158" s="103">
        <f>1.2*1.25*1.1</f>
        <v>1.6500000000000001</v>
      </c>
      <c r="F158" s="67">
        <f>E158*F150</f>
        <v>0.8250000000000001</v>
      </c>
      <c r="G158" s="67">
        <v>10.79</v>
      </c>
      <c r="H158" s="72">
        <f>PRODUCT(F158,G158)</f>
        <v>8.90175</v>
      </c>
      <c r="I158" s="126"/>
      <c r="J158" s="126"/>
      <c r="K158"/>
      <c r="L158"/>
      <c r="M158"/>
      <c r="N158"/>
      <c r="O158" s="127"/>
    </row>
    <row r="159" spans="1:15" ht="12.75">
      <c r="A159" s="73"/>
      <c r="B159" s="101">
        <v>4</v>
      </c>
      <c r="C159" s="102" t="s">
        <v>27</v>
      </c>
      <c r="D159" s="101"/>
      <c r="E159" s="103"/>
      <c r="F159" s="67"/>
      <c r="G159" s="67"/>
      <c r="H159" s="72"/>
      <c r="I159" s="128"/>
      <c r="J159" s="129">
        <f>SUM(H160:H175)</f>
        <v>22759.8</v>
      </c>
      <c r="K159" s="128"/>
      <c r="L159" s="128"/>
      <c r="M159" s="128"/>
      <c r="N159" s="127"/>
      <c r="O159"/>
    </row>
    <row r="160" spans="1:15" ht="12.75">
      <c r="A160" s="73"/>
      <c r="B160" s="101" t="s">
        <v>46</v>
      </c>
      <c r="C160" s="102" t="s">
        <v>47</v>
      </c>
      <c r="D160" s="101" t="s">
        <v>45</v>
      </c>
      <c r="E160" s="103">
        <v>77</v>
      </c>
      <c r="F160" s="67">
        <f>E160*F150</f>
        <v>38.5</v>
      </c>
      <c r="G160" s="57">
        <v>21</v>
      </c>
      <c r="H160" s="72">
        <f aca="true" t="shared" si="2" ref="H160:H175">PRODUCT(F160,G160)</f>
        <v>808.5</v>
      </c>
      <c r="I160"/>
      <c r="J160"/>
      <c r="K160"/>
      <c r="L160"/>
      <c r="M160"/>
      <c r="N160"/>
      <c r="O160"/>
    </row>
    <row r="161" spans="1:15" ht="12.75">
      <c r="A161" s="73"/>
      <c r="B161" s="101" t="s">
        <v>43</v>
      </c>
      <c r="C161" s="102" t="s">
        <v>44</v>
      </c>
      <c r="D161" s="101" t="s">
        <v>45</v>
      </c>
      <c r="E161" s="103">
        <v>269</v>
      </c>
      <c r="F161" s="67">
        <f>E161*F150</f>
        <v>134.5</v>
      </c>
      <c r="G161" s="80">
        <v>25</v>
      </c>
      <c r="H161" s="72">
        <f t="shared" si="2"/>
        <v>3362.5</v>
      </c>
      <c r="I161" s="37"/>
      <c r="J161" s="37"/>
      <c r="K161" s="1"/>
      <c r="L161" s="1"/>
      <c r="M161" s="1"/>
      <c r="N161" s="130"/>
      <c r="O161"/>
    </row>
    <row r="162" spans="1:15" ht="12.75" customHeight="1">
      <c r="A162" s="73"/>
      <c r="B162" s="101" t="s">
        <v>110</v>
      </c>
      <c r="C162" s="102" t="s">
        <v>111</v>
      </c>
      <c r="D162" s="101" t="s">
        <v>45</v>
      </c>
      <c r="E162" s="103">
        <v>46</v>
      </c>
      <c r="F162" s="67">
        <f>E162*F150</f>
        <v>23</v>
      </c>
      <c r="G162" s="80">
        <v>23</v>
      </c>
      <c r="H162" s="72">
        <f t="shared" si="2"/>
        <v>529</v>
      </c>
      <c r="I162" s="37"/>
      <c r="J162" s="1"/>
      <c r="K162" s="1"/>
      <c r="L162" s="1"/>
      <c r="M162" s="1"/>
      <c r="N162" s="130"/>
      <c r="O162" s="37"/>
    </row>
    <row r="163" spans="1:17" ht="12.75">
      <c r="A163" s="73"/>
      <c r="B163" s="101" t="s">
        <v>64</v>
      </c>
      <c r="C163" s="102" t="s">
        <v>65</v>
      </c>
      <c r="D163" s="101" t="s">
        <v>45</v>
      </c>
      <c r="E163" s="103">
        <v>93</v>
      </c>
      <c r="F163" s="67">
        <f>E163*F150</f>
        <v>46.5</v>
      </c>
      <c r="G163" s="67">
        <v>6.3</v>
      </c>
      <c r="H163" s="72">
        <f t="shared" si="2"/>
        <v>292.95</v>
      </c>
      <c r="I163" s="37"/>
      <c r="J163" s="1"/>
      <c r="K163" s="1"/>
      <c r="L163" s="37"/>
      <c r="M163" s="1"/>
      <c r="N163" s="1"/>
      <c r="O163"/>
      <c r="Q163"/>
    </row>
    <row r="164" spans="1:17" ht="12.75" customHeight="1">
      <c r="A164" s="73"/>
      <c r="B164" s="101" t="s">
        <v>59</v>
      </c>
      <c r="C164" s="102" t="s">
        <v>112</v>
      </c>
      <c r="D164" s="101" t="s">
        <v>50</v>
      </c>
      <c r="E164" s="103">
        <v>335</v>
      </c>
      <c r="F164" s="67">
        <f>E164*F150</f>
        <v>167.5</v>
      </c>
      <c r="G164" s="67">
        <v>1.6</v>
      </c>
      <c r="H164" s="72">
        <f t="shared" si="2"/>
        <v>268</v>
      </c>
      <c r="I164" s="37"/>
      <c r="J164" s="1"/>
      <c r="K164" s="1"/>
      <c r="L164" s="37"/>
      <c r="M164" s="1"/>
      <c r="N164" s="1"/>
      <c r="O164"/>
      <c r="Q164"/>
    </row>
    <row r="165" spans="1:17" ht="12.75">
      <c r="A165" s="73"/>
      <c r="B165" s="101" t="s">
        <v>113</v>
      </c>
      <c r="C165" s="131" t="s">
        <v>114</v>
      </c>
      <c r="D165" s="132" t="s">
        <v>50</v>
      </c>
      <c r="E165" s="133">
        <v>240</v>
      </c>
      <c r="F165" s="67">
        <f>E165*F150</f>
        <v>120</v>
      </c>
      <c r="G165" s="59">
        <v>5.5</v>
      </c>
      <c r="H165" s="72">
        <f t="shared" si="2"/>
        <v>660</v>
      </c>
      <c r="I165" s="37"/>
      <c r="J165" s="1"/>
      <c r="K165" s="1"/>
      <c r="L165" s="37"/>
      <c r="M165" s="1"/>
      <c r="N165" s="1"/>
      <c r="O165"/>
      <c r="Q165"/>
    </row>
    <row r="166" spans="1:17" ht="12.75">
      <c r="A166" s="73"/>
      <c r="B166" s="101" t="s">
        <v>115</v>
      </c>
      <c r="C166" s="102" t="s">
        <v>116</v>
      </c>
      <c r="D166" s="101" t="s">
        <v>50</v>
      </c>
      <c r="E166" s="103">
        <v>116</v>
      </c>
      <c r="F166" s="67">
        <f>E166*F150</f>
        <v>58</v>
      </c>
      <c r="G166" s="67">
        <v>6.7</v>
      </c>
      <c r="H166" s="72">
        <f t="shared" si="2"/>
        <v>388.6</v>
      </c>
      <c r="I166" s="1"/>
      <c r="J166" s="1"/>
      <c r="K166" s="37"/>
      <c r="L166" s="1"/>
      <c r="M166" s="1"/>
      <c r="N166" s="1"/>
      <c r="O166"/>
      <c r="Q166"/>
    </row>
    <row r="167" spans="1:17" ht="12.75">
      <c r="A167" s="73"/>
      <c r="B167" s="101" t="s">
        <v>117</v>
      </c>
      <c r="C167" s="401" t="s">
        <v>415</v>
      </c>
      <c r="D167" s="101" t="s">
        <v>416</v>
      </c>
      <c r="E167" s="103">
        <v>107</v>
      </c>
      <c r="F167" s="67">
        <f>E167*F150</f>
        <v>53.5</v>
      </c>
      <c r="G167" s="67">
        <v>269</v>
      </c>
      <c r="H167" s="72">
        <f t="shared" si="2"/>
        <v>14391.5</v>
      </c>
      <c r="I167" s="125"/>
      <c r="J167" s="1"/>
      <c r="K167" s="1"/>
      <c r="L167" s="1"/>
      <c r="M167" s="37"/>
      <c r="N167" s="1"/>
      <c r="O167"/>
      <c r="Q167"/>
    </row>
    <row r="168" spans="1:16" ht="12.75">
      <c r="A168" s="73"/>
      <c r="B168" s="101" t="s">
        <v>123</v>
      </c>
      <c r="C168" s="102" t="s">
        <v>67</v>
      </c>
      <c r="D168" s="101" t="s">
        <v>50</v>
      </c>
      <c r="E168" s="103">
        <v>829</v>
      </c>
      <c r="F168" s="67">
        <f>E168*F150</f>
        <v>414.5</v>
      </c>
      <c r="G168" s="67">
        <v>0.15</v>
      </c>
      <c r="H168" s="72">
        <f t="shared" si="2"/>
        <v>62.175</v>
      </c>
      <c r="I168" s="126"/>
      <c r="P168" s="7"/>
    </row>
    <row r="169" spans="1:15" ht="12.75">
      <c r="A169" s="73"/>
      <c r="B169" s="101" t="s">
        <v>124</v>
      </c>
      <c r="C169" s="102" t="s">
        <v>69</v>
      </c>
      <c r="D169" s="101" t="s">
        <v>50</v>
      </c>
      <c r="E169" s="103">
        <v>1855</v>
      </c>
      <c r="F169" s="67">
        <f>E169*F150</f>
        <v>927.5</v>
      </c>
      <c r="G169" s="67">
        <v>0.25</v>
      </c>
      <c r="H169" s="72">
        <f t="shared" si="2"/>
        <v>231.875</v>
      </c>
      <c r="I169" s="126"/>
      <c r="J169" s="126"/>
      <c r="O169" s="127"/>
    </row>
    <row r="170" spans="1:16" ht="12.75">
      <c r="A170" s="73"/>
      <c r="B170" s="101" t="s">
        <v>125</v>
      </c>
      <c r="C170" s="102" t="s">
        <v>126</v>
      </c>
      <c r="D170" s="101" t="s">
        <v>127</v>
      </c>
      <c r="E170" s="103">
        <v>60</v>
      </c>
      <c r="F170" s="67">
        <f>E170*F150</f>
        <v>30</v>
      </c>
      <c r="G170" s="57">
        <v>14.8</v>
      </c>
      <c r="H170" s="72">
        <f t="shared" si="2"/>
        <v>444</v>
      </c>
      <c r="P170" s="7"/>
    </row>
    <row r="171" spans="1:16" ht="12.75">
      <c r="A171" s="73"/>
      <c r="B171" s="101" t="s">
        <v>128</v>
      </c>
      <c r="C171" s="102" t="s">
        <v>71</v>
      </c>
      <c r="D171" s="101" t="s">
        <v>127</v>
      </c>
      <c r="E171" s="103">
        <v>45</v>
      </c>
      <c r="F171" s="67">
        <f>E171*F150</f>
        <v>22.5</v>
      </c>
      <c r="G171" s="80">
        <v>15.6</v>
      </c>
      <c r="H171" s="72">
        <f t="shared" si="2"/>
        <v>351</v>
      </c>
      <c r="I171" s="37"/>
      <c r="J171" s="37"/>
      <c r="K171" s="1"/>
      <c r="L171" s="1"/>
      <c r="M171" s="1"/>
      <c r="N171" s="130"/>
      <c r="P171" s="7"/>
    </row>
    <row r="172" spans="1:15" ht="12.75">
      <c r="A172" s="73"/>
      <c r="B172" s="101" t="s">
        <v>129</v>
      </c>
      <c r="C172" s="102" t="s">
        <v>130</v>
      </c>
      <c r="D172" s="101" t="s">
        <v>63</v>
      </c>
      <c r="E172" s="103">
        <v>120</v>
      </c>
      <c r="F172" s="67">
        <f>E172*F150</f>
        <v>60</v>
      </c>
      <c r="G172" s="80">
        <v>12</v>
      </c>
      <c r="H172" s="72">
        <f t="shared" si="2"/>
        <v>720</v>
      </c>
      <c r="I172" s="37"/>
      <c r="J172" s="1"/>
      <c r="K172" s="1"/>
      <c r="L172" s="1"/>
      <c r="M172" s="1"/>
      <c r="N172" s="130"/>
      <c r="O172" s="37"/>
    </row>
    <row r="173" spans="1:16" ht="12.75">
      <c r="A173" s="73"/>
      <c r="B173" s="101" t="s">
        <v>131</v>
      </c>
      <c r="C173" s="102" t="s">
        <v>76</v>
      </c>
      <c r="D173" s="101" t="s">
        <v>63</v>
      </c>
      <c r="E173" s="103">
        <v>44</v>
      </c>
      <c r="F173" s="67">
        <f>E173*F150</f>
        <v>22</v>
      </c>
      <c r="G173" s="67">
        <v>2.6</v>
      </c>
      <c r="H173" s="72">
        <f t="shared" si="2"/>
        <v>57.2</v>
      </c>
      <c r="I173" s="37"/>
      <c r="J173" s="1"/>
      <c r="K173" s="1"/>
      <c r="L173" s="37"/>
      <c r="M173" s="1"/>
      <c r="N173" s="1"/>
      <c r="P173" s="7"/>
    </row>
    <row r="174" spans="1:16" ht="12.75">
      <c r="A174" s="73"/>
      <c r="B174" s="101" t="s">
        <v>132</v>
      </c>
      <c r="C174" s="102" t="s">
        <v>133</v>
      </c>
      <c r="D174" s="101" t="s">
        <v>50</v>
      </c>
      <c r="E174" s="103">
        <v>7</v>
      </c>
      <c r="F174" s="67">
        <f>E174*F150</f>
        <v>3.5</v>
      </c>
      <c r="G174" s="67">
        <v>55</v>
      </c>
      <c r="H174" s="72">
        <f t="shared" si="2"/>
        <v>192.5</v>
      </c>
      <c r="I174" s="37"/>
      <c r="J174" s="1"/>
      <c r="K174" s="1"/>
      <c r="L174" s="37"/>
      <c r="M174" s="1"/>
      <c r="N174" s="1"/>
      <c r="P174" s="7"/>
    </row>
    <row r="175" spans="1:16" ht="12.75">
      <c r="A175" s="73"/>
      <c r="B175" s="101" t="s">
        <v>134</v>
      </c>
      <c r="C175" s="131" t="s">
        <v>78</v>
      </c>
      <c r="D175" s="132" t="s">
        <v>127</v>
      </c>
      <c r="E175" s="133">
        <v>11</v>
      </c>
      <c r="F175" s="67">
        <f>E175*F150</f>
        <v>5.5</v>
      </c>
      <c r="G175" s="59">
        <v>0</v>
      </c>
      <c r="H175" s="72">
        <f t="shared" si="2"/>
        <v>0</v>
      </c>
      <c r="I175" s="37"/>
      <c r="J175" s="1"/>
      <c r="K175" s="1"/>
      <c r="L175" s="37"/>
      <c r="M175" s="1"/>
      <c r="N175" s="1"/>
      <c r="P175" s="7"/>
    </row>
    <row r="176" spans="1:16" s="324" customFormat="1" ht="25.5">
      <c r="A176" s="73">
        <v>5</v>
      </c>
      <c r="B176" s="114" t="s">
        <v>420</v>
      </c>
      <c r="C176" s="113" t="s">
        <v>421</v>
      </c>
      <c r="D176" s="114" t="s">
        <v>170</v>
      </c>
      <c r="E176" s="103"/>
      <c r="F176" s="364">
        <v>0.324</v>
      </c>
      <c r="G176" s="103"/>
      <c r="H176" s="402"/>
      <c r="I176"/>
      <c r="J176"/>
      <c r="K176" s="86"/>
      <c r="L176"/>
      <c r="M176"/>
      <c r="N176" s="83"/>
      <c r="O176"/>
      <c r="P176"/>
    </row>
    <row r="177" spans="1:16" s="324" customFormat="1" ht="12.75">
      <c r="A177" s="73"/>
      <c r="B177" s="101" t="s">
        <v>109</v>
      </c>
      <c r="C177" s="377" t="s">
        <v>18</v>
      </c>
      <c r="D177" s="114"/>
      <c r="E177" s="403">
        <f>0.94*110.7%</f>
        <v>1.0405799999999998</v>
      </c>
      <c r="F177" s="103"/>
      <c r="G177" s="103"/>
      <c r="H177" s="402"/>
      <c r="I177"/>
      <c r="J177"/>
      <c r="K177"/>
      <c r="L177"/>
      <c r="M177"/>
      <c r="N177" s="83"/>
      <c r="O177"/>
      <c r="P177"/>
    </row>
    <row r="178" spans="1:16" s="324" customFormat="1" ht="12.75">
      <c r="A178" s="73"/>
      <c r="B178" s="410" t="s">
        <v>39</v>
      </c>
      <c r="C178" s="377" t="s">
        <v>19</v>
      </c>
      <c r="D178" s="114"/>
      <c r="E178" s="404">
        <v>0.6375</v>
      </c>
      <c r="F178" s="405"/>
      <c r="G178" s="406"/>
      <c r="H178" s="407"/>
      <c r="I178" s="83"/>
      <c r="J178" s="83"/>
      <c r="K178" s="83"/>
      <c r="L178" s="84"/>
      <c r="M178" s="83"/>
      <c r="N178" s="83"/>
      <c r="O178" s="37">
        <f>SUM(H179:H181)*E178</f>
        <v>156.9776757165</v>
      </c>
      <c r="P178"/>
    </row>
    <row r="179" spans="1:16" s="324" customFormat="1" ht="12.75">
      <c r="A179" s="73"/>
      <c r="B179" s="101">
        <v>1</v>
      </c>
      <c r="C179" s="377" t="s">
        <v>20</v>
      </c>
      <c r="D179" s="101" t="s">
        <v>21</v>
      </c>
      <c r="E179" s="103">
        <f>1.2*1.15*7.65</f>
        <v>10.557</v>
      </c>
      <c r="F179" s="102">
        <f>PRODUCT(F176,E179)</f>
        <v>3.420468</v>
      </c>
      <c r="G179" s="103">
        <v>71.99</v>
      </c>
      <c r="H179" s="408">
        <f>PRODUCT(F179,G179)</f>
        <v>246.23949131999998</v>
      </c>
      <c r="I179"/>
      <c r="J179"/>
      <c r="K179"/>
      <c r="L179" s="86">
        <f>SUM(H179)</f>
        <v>246.23949131999998</v>
      </c>
      <c r="M179"/>
      <c r="N179"/>
      <c r="O179" s="1"/>
      <c r="P179"/>
    </row>
    <row r="180" spans="1:16" s="324" customFormat="1" ht="12.75">
      <c r="A180" s="73"/>
      <c r="B180" s="123"/>
      <c r="C180" s="377" t="s">
        <v>22</v>
      </c>
      <c r="D180" s="101"/>
      <c r="E180" s="103">
        <v>3</v>
      </c>
      <c r="F180" s="102"/>
      <c r="G180" s="103"/>
      <c r="H180" s="402"/>
      <c r="I180" s="86"/>
      <c r="J180" s="86"/>
      <c r="K180" s="86">
        <f>SUM(H179:H181)*E177</f>
        <v>256.2318898777655</v>
      </c>
      <c r="L180"/>
      <c r="M180" s="86"/>
      <c r="N180"/>
      <c r="O180" s="1"/>
      <c r="P180"/>
    </row>
    <row r="181" spans="1:16" s="324" customFormat="1" ht="12.75">
      <c r="A181" s="73"/>
      <c r="B181" s="101">
        <v>2</v>
      </c>
      <c r="C181" s="377" t="s">
        <v>23</v>
      </c>
      <c r="D181" s="101" t="s">
        <v>21</v>
      </c>
      <c r="E181" s="103">
        <v>0</v>
      </c>
      <c r="F181" s="102">
        <f>PRODUCT(F176,E181)</f>
        <v>0</v>
      </c>
      <c r="G181" s="66">
        <v>89.6</v>
      </c>
      <c r="H181" s="408">
        <f>PRODUCT(F181,G181)</f>
        <v>0</v>
      </c>
      <c r="I181"/>
      <c r="J181"/>
      <c r="K181"/>
      <c r="L181"/>
      <c r="M181" s="86">
        <f>SUM(H181)</f>
        <v>0</v>
      </c>
      <c r="N181"/>
      <c r="O181" s="1"/>
      <c r="P181"/>
    </row>
    <row r="182" spans="1:16" s="324" customFormat="1" ht="12.75">
      <c r="A182" s="73"/>
      <c r="B182" s="101">
        <v>3</v>
      </c>
      <c r="C182" s="377" t="s">
        <v>24</v>
      </c>
      <c r="D182" s="101"/>
      <c r="E182" s="103"/>
      <c r="F182" s="103"/>
      <c r="G182" s="103"/>
      <c r="H182" s="402"/>
      <c r="I182" s="86">
        <f>SUM(H183)</f>
        <v>17.2771056</v>
      </c>
      <c r="J182"/>
      <c r="K182"/>
      <c r="L182"/>
      <c r="M182"/>
      <c r="N182"/>
      <c r="O182" s="1"/>
      <c r="P182"/>
    </row>
    <row r="183" spans="1:16" s="324" customFormat="1" ht="12.75">
      <c r="A183" s="73"/>
      <c r="B183" s="101">
        <v>400001</v>
      </c>
      <c r="C183" s="377" t="s">
        <v>97</v>
      </c>
      <c r="D183" s="101" t="s">
        <v>26</v>
      </c>
      <c r="E183" s="103">
        <f>1.2*1.25*0.08</f>
        <v>0.12</v>
      </c>
      <c r="F183" s="102">
        <f>PRODUCT(F176,E183)</f>
        <v>0.03888</v>
      </c>
      <c r="G183" s="57">
        <v>444.37</v>
      </c>
      <c r="H183" s="408">
        <f>PRODUCT(F183,G183)</f>
        <v>17.2771056</v>
      </c>
      <c r="I183"/>
      <c r="J183"/>
      <c r="K183"/>
      <c r="L183"/>
      <c r="M183"/>
      <c r="N183"/>
      <c r="O183" s="1"/>
      <c r="P183"/>
    </row>
    <row r="184" spans="1:16" s="324" customFormat="1" ht="12.75">
      <c r="A184" s="73"/>
      <c r="B184" s="101">
        <v>4</v>
      </c>
      <c r="C184" s="377" t="s">
        <v>27</v>
      </c>
      <c r="D184" s="101"/>
      <c r="E184" s="103"/>
      <c r="F184" s="103"/>
      <c r="G184" s="103"/>
      <c r="H184" s="402"/>
      <c r="I184"/>
      <c r="J184" s="86">
        <f>SUM(H185:H186)</f>
        <v>892.2960000000002</v>
      </c>
      <c r="K184"/>
      <c r="L184"/>
      <c r="M184"/>
      <c r="N184"/>
      <c r="O184" s="1"/>
      <c r="P184"/>
    </row>
    <row r="185" spans="1:16" s="324" customFormat="1" ht="12.75">
      <c r="A185" s="73"/>
      <c r="B185" s="101" t="s">
        <v>417</v>
      </c>
      <c r="C185" s="377" t="s">
        <v>422</v>
      </c>
      <c r="D185" s="101" t="s">
        <v>45</v>
      </c>
      <c r="E185" s="103">
        <v>101</v>
      </c>
      <c r="F185" s="102">
        <f>PRODUCT(F176,E185)</f>
        <v>32.724000000000004</v>
      </c>
      <c r="G185" s="103">
        <v>27</v>
      </c>
      <c r="H185" s="408">
        <f>PRODUCT(F185,G185)</f>
        <v>883.5480000000001</v>
      </c>
      <c r="I185"/>
      <c r="J185"/>
      <c r="K185"/>
      <c r="L185" s="409"/>
      <c r="M185"/>
      <c r="N185"/>
      <c r="O185" s="1"/>
      <c r="P185"/>
    </row>
    <row r="186" spans="1:16" s="324" customFormat="1" ht="12.75">
      <c r="A186" s="73"/>
      <c r="B186" s="101" t="s">
        <v>418</v>
      </c>
      <c r="C186" s="377" t="s">
        <v>419</v>
      </c>
      <c r="D186" s="101" t="s">
        <v>35</v>
      </c>
      <c r="E186" s="103">
        <v>0.0003</v>
      </c>
      <c r="F186" s="102">
        <f>PRODUCT(F176,E186)</f>
        <v>9.719999999999999E-05</v>
      </c>
      <c r="G186" s="359">
        <v>90000</v>
      </c>
      <c r="H186" s="408">
        <f>PRODUCT(F186,G186)</f>
        <v>8.748</v>
      </c>
      <c r="I186"/>
      <c r="J186" s="272"/>
      <c r="K186"/>
      <c r="L186"/>
      <c r="M186"/>
      <c r="N186"/>
      <c r="O186" s="1"/>
      <c r="P186"/>
    </row>
    <row r="187" spans="1:16" s="120" customFormat="1" ht="14.25">
      <c r="A187" s="139">
        <v>6</v>
      </c>
      <c r="B187" s="140" t="s">
        <v>147</v>
      </c>
      <c r="C187" s="141" t="s">
        <v>148</v>
      </c>
      <c r="D187" s="140" t="s">
        <v>359</v>
      </c>
      <c r="E187" s="133"/>
      <c r="F187" s="142">
        <v>0.648</v>
      </c>
      <c r="G187" s="59"/>
      <c r="H187" s="143"/>
      <c r="I187" s="4"/>
      <c r="J187" s="4"/>
      <c r="K187" s="4"/>
      <c r="L187" s="43"/>
      <c r="M187" s="4"/>
      <c r="N187" s="4"/>
      <c r="O187" s="7"/>
      <c r="P187" s="7"/>
    </row>
    <row r="188" spans="1:16" s="120" customFormat="1" ht="12.75">
      <c r="A188" s="139"/>
      <c r="B188" s="132" t="s">
        <v>109</v>
      </c>
      <c r="C188" s="144" t="s">
        <v>18</v>
      </c>
      <c r="D188" s="132"/>
      <c r="E188" s="145">
        <f>0.94*94.5%</f>
        <v>0.8882999999999999</v>
      </c>
      <c r="F188" s="146"/>
      <c r="G188" s="147"/>
      <c r="H188" s="148"/>
      <c r="I188" s="4"/>
      <c r="J188" s="4"/>
      <c r="K188" s="43"/>
      <c r="L188" s="4"/>
      <c r="M188" s="4"/>
      <c r="N188" s="43"/>
      <c r="O188" s="7"/>
      <c r="P188" s="7"/>
    </row>
    <row r="189" spans="1:16" s="120" customFormat="1" ht="12.75">
      <c r="A189" s="139"/>
      <c r="B189" s="32" t="s">
        <v>39</v>
      </c>
      <c r="C189" s="144" t="s">
        <v>19</v>
      </c>
      <c r="D189" s="140"/>
      <c r="E189" s="145">
        <v>0.4675</v>
      </c>
      <c r="F189" s="146"/>
      <c r="G189" s="147"/>
      <c r="H189" s="149"/>
      <c r="I189" s="41"/>
      <c r="J189" s="41"/>
      <c r="K189" s="4"/>
      <c r="L189" s="4"/>
      <c r="M189" s="4"/>
      <c r="N189" s="42"/>
      <c r="O189" s="43">
        <f>SUM(H190:H192)*E189</f>
        <v>401.9088681828</v>
      </c>
      <c r="P189" s="7"/>
    </row>
    <row r="190" spans="1:16" s="120" customFormat="1" ht="12.75">
      <c r="A190" s="139"/>
      <c r="B190" s="132">
        <v>1</v>
      </c>
      <c r="C190" s="144" t="s">
        <v>149</v>
      </c>
      <c r="D190" s="132" t="s">
        <v>21</v>
      </c>
      <c r="E190" s="133">
        <f>1.2*1.15*11.99</f>
        <v>16.5462</v>
      </c>
      <c r="F190" s="59">
        <f>PRODUCT(F187,E190)</f>
        <v>10.7219376</v>
      </c>
      <c r="G190" s="59">
        <v>80.1</v>
      </c>
      <c r="H190" s="135">
        <f>PRODUCT(F190,G190)</f>
        <v>858.82720176</v>
      </c>
      <c r="I190" s="41"/>
      <c r="J190" s="41"/>
      <c r="K190" s="4"/>
      <c r="L190" s="43">
        <f>SUM(H190)</f>
        <v>858.82720176</v>
      </c>
      <c r="M190" s="4"/>
      <c r="N190" s="4"/>
      <c r="O190" s="7"/>
      <c r="P190" s="7"/>
    </row>
    <row r="191" spans="1:16" s="120" customFormat="1" ht="12.75">
      <c r="A191" s="139"/>
      <c r="B191" s="150" t="s">
        <v>150</v>
      </c>
      <c r="C191" s="131" t="s">
        <v>22</v>
      </c>
      <c r="D191" s="132"/>
      <c r="E191" s="133">
        <v>3.9</v>
      </c>
      <c r="F191" s="59"/>
      <c r="G191" s="59"/>
      <c r="H191" s="135"/>
      <c r="I191" s="7"/>
      <c r="J191" s="7"/>
      <c r="K191" s="43">
        <f>SUM(H190:H192)*E188</f>
        <v>763.6698344530079</v>
      </c>
      <c r="L191" s="4"/>
      <c r="M191" s="4"/>
      <c r="N191" s="4"/>
      <c r="O191" s="7"/>
      <c r="P191" s="7"/>
    </row>
    <row r="192" spans="1:16" s="120" customFormat="1" ht="12.75">
      <c r="A192" s="139"/>
      <c r="B192" s="132">
        <v>2</v>
      </c>
      <c r="C192" s="131" t="s">
        <v>23</v>
      </c>
      <c r="D192" s="132" t="s">
        <v>21</v>
      </c>
      <c r="E192" s="133">
        <f>E195</f>
        <v>0.015</v>
      </c>
      <c r="F192" s="59">
        <f>PRODUCT(F187,E192)</f>
        <v>0.00972</v>
      </c>
      <c r="G192" s="66">
        <v>89.6</v>
      </c>
      <c r="H192" s="135">
        <f>PRODUCT(F192,G192)</f>
        <v>0.8709119999999999</v>
      </c>
      <c r="I192" s="7"/>
      <c r="J192" s="7"/>
      <c r="K192" s="4"/>
      <c r="L192" s="4"/>
      <c r="M192" s="43">
        <f>SUM(H192)</f>
        <v>0.8709119999999999</v>
      </c>
      <c r="N192" s="4"/>
      <c r="O192" s="7"/>
      <c r="P192" s="7"/>
    </row>
    <row r="193" spans="1:16" s="120" customFormat="1" ht="12.75">
      <c r="A193" s="139"/>
      <c r="B193" s="132">
        <v>3</v>
      </c>
      <c r="C193" s="131" t="s">
        <v>24</v>
      </c>
      <c r="D193" s="132"/>
      <c r="E193" s="133"/>
      <c r="F193" s="59"/>
      <c r="G193" s="59"/>
      <c r="H193" s="135"/>
      <c r="I193" s="151">
        <f>SUM(H194:H195)</f>
        <v>15.310846799999998</v>
      </c>
      <c r="J193" s="152"/>
      <c r="K193" s="152"/>
      <c r="L193" s="151"/>
      <c r="M193" s="152"/>
      <c r="N193" s="152"/>
      <c r="O193" s="7"/>
      <c r="P193" s="7"/>
    </row>
    <row r="194" spans="1:16" s="120" customFormat="1" ht="12.75">
      <c r="A194" s="139"/>
      <c r="B194" s="132">
        <v>400001</v>
      </c>
      <c r="C194" s="131" t="s">
        <v>151</v>
      </c>
      <c r="D194" s="132" t="s">
        <v>26</v>
      </c>
      <c r="E194" s="133">
        <f>1.2*1.25*0.03</f>
        <v>0.045</v>
      </c>
      <c r="F194" s="59">
        <f>PRODUCT(F187,E194)</f>
        <v>0.02916</v>
      </c>
      <c r="G194" s="57">
        <v>444.37</v>
      </c>
      <c r="H194" s="135">
        <f>PRODUCT(F194,G194)</f>
        <v>12.957829199999999</v>
      </c>
      <c r="I194" s="4"/>
      <c r="J194" s="4"/>
      <c r="K194" s="4"/>
      <c r="L194" s="43"/>
      <c r="M194" s="4"/>
      <c r="N194" s="4"/>
      <c r="O194" s="7"/>
      <c r="P194" s="7"/>
    </row>
    <row r="195" spans="1:16" s="120" customFormat="1" ht="12.75">
      <c r="A195" s="139"/>
      <c r="B195" s="132">
        <v>31121</v>
      </c>
      <c r="C195" s="131" t="s">
        <v>25</v>
      </c>
      <c r="D195" s="132" t="s">
        <v>26</v>
      </c>
      <c r="E195" s="133">
        <f>1.2*1.25*0.01</f>
        <v>0.015</v>
      </c>
      <c r="F195" s="59">
        <f>PRODUCT(F187,E195)</f>
        <v>0.00972</v>
      </c>
      <c r="G195" s="57">
        <v>242.08</v>
      </c>
      <c r="H195" s="135">
        <f>PRODUCT(F195,G195)</f>
        <v>2.3530176</v>
      </c>
      <c r="I195" s="4"/>
      <c r="J195" s="4"/>
      <c r="K195" s="43"/>
      <c r="L195" s="4"/>
      <c r="M195" s="4"/>
      <c r="N195" s="43"/>
      <c r="O195" s="7"/>
      <c r="P195" s="7"/>
    </row>
    <row r="196" spans="1:16" s="120" customFormat="1" ht="12.75">
      <c r="A196" s="139"/>
      <c r="B196" s="132">
        <v>4</v>
      </c>
      <c r="C196" s="131" t="s">
        <v>27</v>
      </c>
      <c r="D196" s="132"/>
      <c r="E196" s="133"/>
      <c r="F196" s="59"/>
      <c r="G196" s="59"/>
      <c r="H196" s="135"/>
      <c r="I196" s="4"/>
      <c r="J196" s="151">
        <f>SUM(H197:H199)</f>
        <v>233.36639136000005</v>
      </c>
      <c r="K196" s="4"/>
      <c r="L196" s="4"/>
      <c r="M196" s="4"/>
      <c r="N196" s="43"/>
      <c r="O196" s="7"/>
      <c r="P196" s="7"/>
    </row>
    <row r="197" spans="1:16" s="120" customFormat="1" ht="12.75">
      <c r="A197" s="139"/>
      <c r="B197" s="132" t="s">
        <v>90</v>
      </c>
      <c r="C197" s="131" t="s">
        <v>91</v>
      </c>
      <c r="D197" s="132" t="s">
        <v>35</v>
      </c>
      <c r="E197" s="133">
        <v>0.029</v>
      </c>
      <c r="F197" s="59">
        <f>PRODUCT(F187,E197)</f>
        <v>0.018792000000000003</v>
      </c>
      <c r="G197" s="59">
        <v>12400</v>
      </c>
      <c r="H197" s="135">
        <f>PRODUCT(F197,G197)</f>
        <v>233.02080000000004</v>
      </c>
      <c r="I197" s="4"/>
      <c r="J197" s="153"/>
      <c r="K197" s="4"/>
      <c r="L197" s="4"/>
      <c r="M197" s="4"/>
      <c r="N197" s="42"/>
      <c r="O197" s="7"/>
      <c r="P197" s="7"/>
    </row>
    <row r="198" spans="1:16" s="120" customFormat="1" ht="12.75">
      <c r="A198" s="139"/>
      <c r="B198" s="132" t="s">
        <v>84</v>
      </c>
      <c r="C198" s="131" t="s">
        <v>85</v>
      </c>
      <c r="D198" s="132" t="s">
        <v>72</v>
      </c>
      <c r="E198" s="133">
        <v>0.15</v>
      </c>
      <c r="F198" s="59">
        <f>PRODUCT(F187,E198)</f>
        <v>0.0972</v>
      </c>
      <c r="G198" s="59">
        <v>3.18</v>
      </c>
      <c r="H198" s="135">
        <f>PRODUCT(F198,G198)</f>
        <v>0.309096</v>
      </c>
      <c r="I198" s="152"/>
      <c r="J198" s="152"/>
      <c r="K198" s="152"/>
      <c r="L198" s="152"/>
      <c r="M198" s="152"/>
      <c r="N198" s="152"/>
      <c r="O198" s="7"/>
      <c r="P198" s="7"/>
    </row>
    <row r="199" spans="1:16" s="120" customFormat="1" ht="14.25">
      <c r="A199" s="139"/>
      <c r="B199" s="132" t="s">
        <v>92</v>
      </c>
      <c r="C199" s="131" t="s">
        <v>93</v>
      </c>
      <c r="D199" s="101" t="s">
        <v>360</v>
      </c>
      <c r="E199" s="133">
        <v>0.00044</v>
      </c>
      <c r="F199" s="59">
        <f>PRODUCT(F187,E199)</f>
        <v>0.00028512000000000003</v>
      </c>
      <c r="G199" s="59">
        <v>128</v>
      </c>
      <c r="H199" s="135">
        <f>PRODUCT(F199,G199)</f>
        <v>0.036495360000000004</v>
      </c>
      <c r="I199" s="152"/>
      <c r="J199" s="152"/>
      <c r="K199" s="152"/>
      <c r="L199" s="152"/>
      <c r="M199" s="152"/>
      <c r="N199" s="152"/>
      <c r="O199" s="7"/>
      <c r="P199" s="7"/>
    </row>
    <row r="200" spans="1:15" ht="51">
      <c r="A200" s="89">
        <v>7</v>
      </c>
      <c r="B200" s="53" t="s">
        <v>152</v>
      </c>
      <c r="C200" s="54" t="s">
        <v>153</v>
      </c>
      <c r="D200" s="90" t="s">
        <v>81</v>
      </c>
      <c r="E200" s="55"/>
      <c r="F200" s="56">
        <v>0.648</v>
      </c>
      <c r="G200" s="57"/>
      <c r="H200" s="76"/>
      <c r="I200" s="154"/>
      <c r="J200" s="154"/>
      <c r="K200" s="154"/>
      <c r="L200" s="154"/>
      <c r="M200" s="154"/>
      <c r="N200" s="154"/>
      <c r="O200" s="154"/>
    </row>
    <row r="201" spans="1:16" ht="12.75">
      <c r="A201" s="29"/>
      <c r="B201" s="30" t="s">
        <v>38</v>
      </c>
      <c r="C201" s="31" t="s">
        <v>18</v>
      </c>
      <c r="D201" s="32"/>
      <c r="E201" s="93">
        <f>94.5%*0.94</f>
        <v>0.8882999999999999</v>
      </c>
      <c r="F201" s="34"/>
      <c r="G201" s="34"/>
      <c r="H201" s="36"/>
      <c r="I201" s="37"/>
      <c r="J201" s="1"/>
      <c r="K201" s="1"/>
      <c r="L201" s="37"/>
      <c r="M201" s="1"/>
      <c r="N201" s="1"/>
      <c r="P201" s="7"/>
    </row>
    <row r="202" spans="1:16" ht="12.75">
      <c r="A202" s="29"/>
      <c r="B202" s="94" t="s">
        <v>39</v>
      </c>
      <c r="C202" s="31" t="s">
        <v>19</v>
      </c>
      <c r="D202" s="38"/>
      <c r="E202" s="93">
        <v>0.4675</v>
      </c>
      <c r="F202" s="34"/>
      <c r="G202" s="34"/>
      <c r="H202" s="40"/>
      <c r="I202" s="41"/>
      <c r="J202" s="41"/>
      <c r="K202" s="4"/>
      <c r="L202" s="4"/>
      <c r="M202" s="4"/>
      <c r="N202" s="42"/>
      <c r="O202" s="43">
        <f>SUM(H203:H205)*E202</f>
        <v>553.52291372928</v>
      </c>
      <c r="P202" s="7"/>
    </row>
    <row r="203" spans="1:16" ht="12.75">
      <c r="A203" s="29"/>
      <c r="B203" s="94">
        <v>1</v>
      </c>
      <c r="C203" s="95" t="s">
        <v>20</v>
      </c>
      <c r="D203" s="94" t="s">
        <v>21</v>
      </c>
      <c r="E203" s="55">
        <f>1.2*1.15*16.32</f>
        <v>22.5216</v>
      </c>
      <c r="F203" s="34">
        <f>PRODUCT(F200,E203)</f>
        <v>14.5939968</v>
      </c>
      <c r="G203" s="46">
        <v>81.07</v>
      </c>
      <c r="H203" s="36">
        <f>PRODUCT(F203,G203)</f>
        <v>1183.135320576</v>
      </c>
      <c r="I203" s="41"/>
      <c r="J203" s="41"/>
      <c r="K203" s="4"/>
      <c r="L203" s="43">
        <f>SUM(H203)</f>
        <v>1183.135320576</v>
      </c>
      <c r="M203" s="4"/>
      <c r="N203" s="4"/>
      <c r="P203" s="1"/>
    </row>
    <row r="204" spans="1:14" ht="12.75">
      <c r="A204" s="64"/>
      <c r="B204" s="69"/>
      <c r="C204" s="95" t="s">
        <v>22</v>
      </c>
      <c r="D204" s="94"/>
      <c r="E204" s="55">
        <v>4</v>
      </c>
      <c r="F204" s="34"/>
      <c r="G204" s="46"/>
      <c r="H204" s="36"/>
      <c r="K204" s="43">
        <f>SUM(H203:H205)*E201</f>
        <v>1051.7527363972606</v>
      </c>
      <c r="L204" s="4"/>
      <c r="M204" s="4"/>
      <c r="N204" s="4"/>
    </row>
    <row r="205" spans="1:14" ht="12" customHeight="1">
      <c r="A205" s="64"/>
      <c r="B205" s="94">
        <v>2</v>
      </c>
      <c r="C205" s="95" t="s">
        <v>23</v>
      </c>
      <c r="D205" s="94" t="s">
        <v>21</v>
      </c>
      <c r="E205" s="55">
        <f>1.2*1.25*0.03-E208</f>
        <v>0.015</v>
      </c>
      <c r="F205" s="34">
        <f>PRODUCT(F200,E205)</f>
        <v>0.00972</v>
      </c>
      <c r="G205" s="66">
        <v>89.6</v>
      </c>
      <c r="H205" s="36">
        <f>PRODUCT(F205,G205)</f>
        <v>0.8709119999999999</v>
      </c>
      <c r="K205" s="4"/>
      <c r="L205" s="4"/>
      <c r="M205" s="43">
        <f>SUM(H205)</f>
        <v>0.8709119999999999</v>
      </c>
      <c r="N205" s="4"/>
    </row>
    <row r="206" spans="1:9" ht="12.75">
      <c r="A206" s="64"/>
      <c r="B206" s="94">
        <v>3</v>
      </c>
      <c r="C206" s="95" t="s">
        <v>24</v>
      </c>
      <c r="D206" s="94"/>
      <c r="E206" s="55"/>
      <c r="F206" s="34"/>
      <c r="G206" s="34"/>
      <c r="H206" s="36"/>
      <c r="I206" s="97">
        <f>SUM(H207:H208)</f>
        <v>10.991570399999999</v>
      </c>
    </row>
    <row r="207" spans="1:8" ht="12.75">
      <c r="A207" s="64"/>
      <c r="B207" s="94">
        <v>31121</v>
      </c>
      <c r="C207" s="95" t="s">
        <v>82</v>
      </c>
      <c r="D207" s="94" t="s">
        <v>26</v>
      </c>
      <c r="E207" s="55">
        <f>1.2*1.25*0.01</f>
        <v>0.015</v>
      </c>
      <c r="F207" s="34">
        <f>PRODUCT(F200,E207)</f>
        <v>0.00972</v>
      </c>
      <c r="G207" s="57">
        <v>242.08</v>
      </c>
      <c r="H207" s="36">
        <f>PRODUCT(F207,G207)</f>
        <v>2.3530176</v>
      </c>
    </row>
    <row r="208" spans="1:8" ht="12.75">
      <c r="A208" s="64"/>
      <c r="B208" s="94">
        <v>400001</v>
      </c>
      <c r="C208" s="95" t="s">
        <v>83</v>
      </c>
      <c r="D208" s="98" t="s">
        <v>26</v>
      </c>
      <c r="E208" s="99">
        <f>1.2*1.25*0.02</f>
        <v>0.03</v>
      </c>
      <c r="F208" s="34">
        <f>PRODUCT(F200,E208)</f>
        <v>0.01944</v>
      </c>
      <c r="G208" s="57">
        <v>444.37</v>
      </c>
      <c r="H208" s="36">
        <f>PRODUCT(F208,G208)</f>
        <v>8.6385528</v>
      </c>
    </row>
    <row r="209" spans="1:10" ht="12.75">
      <c r="A209" s="64"/>
      <c r="B209" s="94">
        <v>4</v>
      </c>
      <c r="C209" s="95" t="s">
        <v>27</v>
      </c>
      <c r="D209" s="32"/>
      <c r="E209" s="100"/>
      <c r="F209" s="34"/>
      <c r="G209" s="34"/>
      <c r="H209" s="36"/>
      <c r="J209" s="97">
        <f>SUM(H210:H211)</f>
        <v>628.985088</v>
      </c>
    </row>
    <row r="210" spans="1:8" ht="12.75">
      <c r="A210" s="64"/>
      <c r="B210" s="101" t="s">
        <v>84</v>
      </c>
      <c r="C210" s="102" t="s">
        <v>85</v>
      </c>
      <c r="D210" s="101" t="s">
        <v>72</v>
      </c>
      <c r="E210" s="103">
        <v>0.2</v>
      </c>
      <c r="F210" s="34">
        <f>PRODUCT(F200,E210)</f>
        <v>0.12960000000000002</v>
      </c>
      <c r="G210" s="34">
        <v>3.28</v>
      </c>
      <c r="H210" s="36">
        <f>PRODUCT(F210,G210)</f>
        <v>0.425088</v>
      </c>
    </row>
    <row r="211" spans="1:15" ht="12.75">
      <c r="A211" s="64"/>
      <c r="B211" s="94" t="s">
        <v>86</v>
      </c>
      <c r="C211" s="95" t="s">
        <v>87</v>
      </c>
      <c r="D211" s="94" t="s">
        <v>35</v>
      </c>
      <c r="E211" s="55">
        <v>0.02</v>
      </c>
      <c r="F211" s="34">
        <f>PRODUCT(F200,E211)</f>
        <v>0.012960000000000001</v>
      </c>
      <c r="G211" s="34">
        <v>48500</v>
      </c>
      <c r="H211" s="36">
        <f>PRODUCT(F211,G211)</f>
        <v>628.5600000000001</v>
      </c>
      <c r="I211" s="41"/>
      <c r="J211" s="41"/>
      <c r="K211" s="4"/>
      <c r="L211" s="4"/>
      <c r="M211" s="4"/>
      <c r="N211" s="42"/>
      <c r="O211" s="43"/>
    </row>
    <row r="212" spans="1:16" ht="127.5">
      <c r="A212" s="92">
        <v>8</v>
      </c>
      <c r="B212" s="53" t="s">
        <v>154</v>
      </c>
      <c r="C212" s="54" t="s">
        <v>155</v>
      </c>
      <c r="D212" s="90" t="s">
        <v>81</v>
      </c>
      <c r="E212" s="55"/>
      <c r="F212" s="91">
        <v>0.648</v>
      </c>
      <c r="G212" s="34"/>
      <c r="H212" s="36"/>
      <c r="I212" s="13"/>
      <c r="J212" s="13"/>
      <c r="K212" s="13"/>
      <c r="L212" s="13"/>
      <c r="M212" s="13"/>
      <c r="N212" s="62"/>
      <c r="O212" s="62"/>
      <c r="P212" s="62"/>
    </row>
    <row r="213" spans="1:16" ht="12.75">
      <c r="A213" s="29"/>
      <c r="B213" s="30" t="s">
        <v>38</v>
      </c>
      <c r="C213" s="31" t="s">
        <v>18</v>
      </c>
      <c r="D213" s="32"/>
      <c r="E213" s="93">
        <f>94.5%*0.94</f>
        <v>0.8882999999999999</v>
      </c>
      <c r="F213" s="34"/>
      <c r="G213" s="34"/>
      <c r="H213" s="36"/>
      <c r="I213" s="37"/>
      <c r="J213" s="1"/>
      <c r="K213" s="1"/>
      <c r="L213" s="37"/>
      <c r="M213" s="1"/>
      <c r="N213" s="1"/>
      <c r="P213" s="7"/>
    </row>
    <row r="214" spans="1:16" ht="12.75">
      <c r="A214" s="29"/>
      <c r="B214" s="94" t="s">
        <v>39</v>
      </c>
      <c r="C214" s="31" t="s">
        <v>19</v>
      </c>
      <c r="D214" s="38"/>
      <c r="E214" s="93">
        <v>0.4675</v>
      </c>
      <c r="F214" s="34"/>
      <c r="G214" s="34"/>
      <c r="H214" s="40"/>
      <c r="I214" s="41"/>
      <c r="J214" s="41"/>
      <c r="K214" s="4"/>
      <c r="L214" s="4"/>
      <c r="M214" s="4"/>
      <c r="N214" s="42"/>
      <c r="O214" s="43">
        <f>SUM(H215:H217)*E214</f>
        <v>2050.99073529768</v>
      </c>
      <c r="P214" s="7"/>
    </row>
    <row r="215" spans="1:16" ht="12.75">
      <c r="A215" s="136"/>
      <c r="B215" s="94">
        <v>1</v>
      </c>
      <c r="C215" s="95" t="s">
        <v>20</v>
      </c>
      <c r="D215" s="94" t="s">
        <v>21</v>
      </c>
      <c r="E215" s="55">
        <f>1.2*1.15*55.46</f>
        <v>76.53479999999999</v>
      </c>
      <c r="F215" s="34">
        <f>PRODUCT(F212,E215)</f>
        <v>49.594550399999996</v>
      </c>
      <c r="G215" s="46">
        <v>88.39</v>
      </c>
      <c r="H215" s="36">
        <f>PRODUCT(F215,G215)</f>
        <v>4383.662309855999</v>
      </c>
      <c r="I215" s="41"/>
      <c r="J215" s="41"/>
      <c r="K215" s="4"/>
      <c r="L215" s="43">
        <f>SUM(H215)</f>
        <v>4383.662309855999</v>
      </c>
      <c r="M215" s="4"/>
      <c r="N215" s="4"/>
      <c r="O215" s="13"/>
      <c r="P215" s="62"/>
    </row>
    <row r="216" spans="1:16" ht="12.75">
      <c r="A216" s="136"/>
      <c r="B216" s="69"/>
      <c r="C216" s="95" t="s">
        <v>22</v>
      </c>
      <c r="D216" s="94"/>
      <c r="E216" s="55">
        <v>4.6</v>
      </c>
      <c r="F216" s="34"/>
      <c r="G216" s="46"/>
      <c r="H216" s="36"/>
      <c r="K216" s="43">
        <f>SUM(H215:H217)*E213</f>
        <v>3897.101754363484</v>
      </c>
      <c r="L216" s="4"/>
      <c r="M216" s="4"/>
      <c r="N216" s="4"/>
      <c r="O216" s="13"/>
      <c r="P216" s="62"/>
    </row>
    <row r="217" spans="1:16" ht="12.75">
      <c r="A217" s="136"/>
      <c r="B217" s="94">
        <v>2</v>
      </c>
      <c r="C217" s="95" t="s">
        <v>23</v>
      </c>
      <c r="D217" s="94" t="s">
        <v>21</v>
      </c>
      <c r="E217" s="55">
        <f>1.2*1.25*0.32-E220</f>
        <v>0.05999999999999994</v>
      </c>
      <c r="F217" s="34">
        <f>PRODUCT(F212,E217)</f>
        <v>0.03887999999999996</v>
      </c>
      <c r="G217" s="67">
        <v>89.6</v>
      </c>
      <c r="H217" s="36">
        <f>PRODUCT(F217,G217)</f>
        <v>3.4836479999999965</v>
      </c>
      <c r="K217" s="4"/>
      <c r="L217" s="4"/>
      <c r="M217" s="43">
        <f>SUM(H217)</f>
        <v>3.4836479999999965</v>
      </c>
      <c r="N217" s="4"/>
      <c r="O217" s="13"/>
      <c r="P217" s="62"/>
    </row>
    <row r="218" spans="1:16" ht="12.75">
      <c r="A218" s="136"/>
      <c r="B218" s="94">
        <v>3</v>
      </c>
      <c r="C218" s="95" t="s">
        <v>24</v>
      </c>
      <c r="D218" s="94"/>
      <c r="E218" s="55"/>
      <c r="F218" s="34"/>
      <c r="G218" s="34"/>
      <c r="H218" s="36"/>
      <c r="I218" s="137">
        <f>SUM(H219:H221)</f>
        <v>140.6254608</v>
      </c>
      <c r="J218" s="13"/>
      <c r="K218" s="13"/>
      <c r="L218" s="13"/>
      <c r="M218" s="13"/>
      <c r="N218" s="13"/>
      <c r="O218" s="13"/>
      <c r="P218" s="62"/>
    </row>
    <row r="219" spans="1:16" ht="12.75">
      <c r="A219" s="136"/>
      <c r="B219" s="94">
        <v>330206</v>
      </c>
      <c r="C219" s="95" t="s">
        <v>156</v>
      </c>
      <c r="D219" s="94" t="s">
        <v>26</v>
      </c>
      <c r="E219" s="55">
        <f>1.2*1.25*0.96</f>
        <v>1.44</v>
      </c>
      <c r="F219" s="34">
        <f>PRODUCT(F212,E219)</f>
        <v>0.93312</v>
      </c>
      <c r="G219" s="57">
        <v>11.01</v>
      </c>
      <c r="H219" s="36">
        <f>PRODUCT(F219,G219)</f>
        <v>10.2736512</v>
      </c>
      <c r="I219" s="13"/>
      <c r="J219" s="13"/>
      <c r="K219" s="13"/>
      <c r="L219" s="13"/>
      <c r="M219" s="13"/>
      <c r="N219" s="13"/>
      <c r="O219" s="13"/>
      <c r="P219" s="62"/>
    </row>
    <row r="220" spans="1:16" ht="25.5">
      <c r="A220" s="136"/>
      <c r="B220" s="94">
        <v>400001</v>
      </c>
      <c r="C220" s="104" t="s">
        <v>157</v>
      </c>
      <c r="D220" s="138" t="s">
        <v>26</v>
      </c>
      <c r="E220" s="106">
        <f>1.2*1.25*0.28</f>
        <v>0.42000000000000004</v>
      </c>
      <c r="F220" s="34">
        <f>PRODUCT(F212,E220)</f>
        <v>0.27216</v>
      </c>
      <c r="G220" s="57">
        <v>444.37</v>
      </c>
      <c r="H220" s="36">
        <f>PRODUCT(F220,G220)</f>
        <v>120.9397392</v>
      </c>
      <c r="I220" s="13"/>
      <c r="J220" s="13"/>
      <c r="K220" s="13"/>
      <c r="L220" s="13"/>
      <c r="M220" s="13"/>
      <c r="N220" s="13"/>
      <c r="O220" s="13"/>
      <c r="P220" s="62"/>
    </row>
    <row r="221" spans="1:16" ht="25.5">
      <c r="A221" s="136"/>
      <c r="B221" s="94">
        <v>31121</v>
      </c>
      <c r="C221" s="95" t="s">
        <v>139</v>
      </c>
      <c r="D221" s="98" t="s">
        <v>26</v>
      </c>
      <c r="E221" s="99">
        <f>1.2*1.25*0.04</f>
        <v>0.06</v>
      </c>
      <c r="F221" s="34">
        <f>E221*F212</f>
        <v>0.03888</v>
      </c>
      <c r="G221" s="57">
        <v>242.08</v>
      </c>
      <c r="H221" s="36">
        <f>PRODUCT(F221,G221)</f>
        <v>9.4120704</v>
      </c>
      <c r="I221" s="13"/>
      <c r="J221" s="13"/>
      <c r="K221" s="43"/>
      <c r="L221" s="4"/>
      <c r="M221" s="4"/>
      <c r="N221" s="4"/>
      <c r="O221" s="13"/>
      <c r="P221" s="62"/>
    </row>
    <row r="222" spans="1:16" ht="12.75">
      <c r="A222" s="136"/>
      <c r="B222" s="94">
        <v>4</v>
      </c>
      <c r="C222" s="95" t="s">
        <v>27</v>
      </c>
      <c r="D222" s="32"/>
      <c r="E222" s="100"/>
      <c r="F222" s="34"/>
      <c r="G222" s="34"/>
      <c r="H222" s="36"/>
      <c r="I222" s="137"/>
      <c r="J222" s="137">
        <f>SUM(H223:H225)</f>
        <v>16776.17568</v>
      </c>
      <c r="K222" s="13"/>
      <c r="L222" s="13"/>
      <c r="M222" s="13"/>
      <c r="N222" s="13"/>
      <c r="O222" s="13"/>
      <c r="P222" s="62"/>
    </row>
    <row r="223" spans="1:16" ht="38.25">
      <c r="A223" s="136"/>
      <c r="B223" s="94" t="s">
        <v>158</v>
      </c>
      <c r="C223" s="95" t="s">
        <v>159</v>
      </c>
      <c r="D223" s="94" t="s">
        <v>35</v>
      </c>
      <c r="E223" s="55">
        <v>0.26</v>
      </c>
      <c r="F223" s="34">
        <f>E223*F212</f>
        <v>0.16848000000000002</v>
      </c>
      <c r="G223" s="34">
        <v>95890</v>
      </c>
      <c r="H223" s="36">
        <f>PRODUCT(F223,G223)</f>
        <v>16155.5472</v>
      </c>
      <c r="I223" s="13"/>
      <c r="J223" s="13"/>
      <c r="K223" s="13"/>
      <c r="L223" s="13"/>
      <c r="M223" s="13"/>
      <c r="N223" s="13"/>
      <c r="O223" s="13"/>
      <c r="P223" s="62"/>
    </row>
    <row r="224" spans="1:16" ht="25.5">
      <c r="A224" s="136"/>
      <c r="B224" s="94" t="s">
        <v>160</v>
      </c>
      <c r="C224" s="95" t="s">
        <v>161</v>
      </c>
      <c r="D224" s="94" t="s">
        <v>35</v>
      </c>
      <c r="E224" s="55">
        <v>0.016</v>
      </c>
      <c r="F224" s="34">
        <f>E224*F212</f>
        <v>0.010368</v>
      </c>
      <c r="G224" s="46">
        <v>59860</v>
      </c>
      <c r="H224" s="36">
        <f>PRODUCT(F224,G224)</f>
        <v>620.6284800000001</v>
      </c>
      <c r="I224" s="41"/>
      <c r="J224" s="41"/>
      <c r="K224" s="4"/>
      <c r="L224" s="43"/>
      <c r="M224" s="4"/>
      <c r="N224" s="4"/>
      <c r="O224" s="13"/>
      <c r="P224" s="62"/>
    </row>
    <row r="225" spans="1:16" ht="12.75">
      <c r="A225" s="136"/>
      <c r="B225" s="69" t="s">
        <v>146</v>
      </c>
      <c r="C225" s="95" t="s">
        <v>32</v>
      </c>
      <c r="D225" s="94" t="s">
        <v>30</v>
      </c>
      <c r="E225" s="55">
        <v>0.051</v>
      </c>
      <c r="F225" s="34">
        <f>E225*F212</f>
        <v>0.033048</v>
      </c>
      <c r="G225" s="46">
        <v>0</v>
      </c>
      <c r="H225" s="36">
        <f>PRODUCT(F225,G225)</f>
        <v>0</v>
      </c>
      <c r="I225" s="13"/>
      <c r="J225" s="13"/>
      <c r="K225" s="43"/>
      <c r="L225" s="4"/>
      <c r="M225" s="4"/>
      <c r="N225" s="4"/>
      <c r="O225" s="13"/>
      <c r="P225" s="62"/>
    </row>
    <row r="226" spans="1:8" ht="12.75">
      <c r="A226" s="312"/>
      <c r="B226" s="313"/>
      <c r="C226" s="308" t="s">
        <v>162</v>
      </c>
      <c r="D226" s="314"/>
      <c r="E226" s="315"/>
      <c r="F226" s="316"/>
      <c r="G226" s="317"/>
      <c r="H226" s="318"/>
    </row>
    <row r="227" spans="1:16" ht="12.75">
      <c r="A227" s="92">
        <v>1</v>
      </c>
      <c r="B227" s="53" t="s">
        <v>168</v>
      </c>
      <c r="C227" s="107" t="s">
        <v>169</v>
      </c>
      <c r="D227" s="53" t="s">
        <v>170</v>
      </c>
      <c r="E227" s="109"/>
      <c r="F227" s="56">
        <v>0.524</v>
      </c>
      <c r="G227" s="57"/>
      <c r="H227" s="162"/>
      <c r="I227" s="156"/>
      <c r="J227" s="163"/>
      <c r="K227" s="156"/>
      <c r="L227" s="156"/>
      <c r="M227" s="156"/>
      <c r="N227" s="156"/>
      <c r="O227" s="164"/>
      <c r="P227" s="165"/>
    </row>
    <row r="228" spans="1:16" ht="12.75">
      <c r="A228" s="92"/>
      <c r="B228" s="94"/>
      <c r="C228" s="108" t="s">
        <v>18</v>
      </c>
      <c r="D228" s="94"/>
      <c r="E228" s="93">
        <f>0.94*80%</f>
        <v>0.752</v>
      </c>
      <c r="F228" s="57"/>
      <c r="G228" s="57"/>
      <c r="H228" s="40"/>
      <c r="I228" s="156"/>
      <c r="J228" s="156"/>
      <c r="K228" s="156"/>
      <c r="L228" s="156"/>
      <c r="M228" s="156"/>
      <c r="N228" s="157"/>
      <c r="O228" s="156"/>
      <c r="P228" s="165"/>
    </row>
    <row r="229" spans="1:16" ht="12.75">
      <c r="A229" s="92"/>
      <c r="B229" s="94"/>
      <c r="C229" s="108" t="s">
        <v>19</v>
      </c>
      <c r="D229" s="53"/>
      <c r="E229" s="158">
        <v>0.68</v>
      </c>
      <c r="F229" s="159"/>
      <c r="G229" s="57"/>
      <c r="H229" s="40"/>
      <c r="I229" s="157"/>
      <c r="J229" s="157"/>
      <c r="K229" s="157"/>
      <c r="L229" s="160"/>
      <c r="M229" s="157"/>
      <c r="N229" s="157"/>
      <c r="O229" s="161">
        <f>SUM(H230:H232)*E229</f>
        <v>88.175944896</v>
      </c>
      <c r="P229" s="165"/>
    </row>
    <row r="230" spans="1:16" ht="12.75">
      <c r="A230" s="92"/>
      <c r="B230" s="94">
        <v>1</v>
      </c>
      <c r="C230" s="104" t="s">
        <v>20</v>
      </c>
      <c r="D230" s="94" t="s">
        <v>21</v>
      </c>
      <c r="E230" s="109">
        <v>3.77</v>
      </c>
      <c r="F230" s="57">
        <f>PRODUCT(F227,E230)</f>
        <v>1.9754800000000001</v>
      </c>
      <c r="G230" s="46">
        <v>65.64</v>
      </c>
      <c r="H230" s="76">
        <f>PRODUCT(F230,G230)</f>
        <v>129.6705072</v>
      </c>
      <c r="I230" s="164"/>
      <c r="J230" s="164"/>
      <c r="K230" s="164"/>
      <c r="L230" s="161">
        <f>SUM(H230)</f>
        <v>129.6705072</v>
      </c>
      <c r="M230" s="164"/>
      <c r="N230" s="156"/>
      <c r="O230" s="164"/>
      <c r="P230" s="165"/>
    </row>
    <row r="231" spans="1:16" s="62" customFormat="1" ht="12.75">
      <c r="A231" s="92"/>
      <c r="B231" s="69"/>
      <c r="C231" s="104" t="s">
        <v>22</v>
      </c>
      <c r="D231" s="94" t="s">
        <v>165</v>
      </c>
      <c r="E231" s="109">
        <v>2</v>
      </c>
      <c r="F231" s="57"/>
      <c r="G231" s="57"/>
      <c r="H231" s="76"/>
      <c r="I231" s="164"/>
      <c r="J231" s="164"/>
      <c r="K231" s="161">
        <f>SUM(H230:H232)*E228</f>
        <v>97.5122214144</v>
      </c>
      <c r="L231" s="164"/>
      <c r="M231" s="164"/>
      <c r="N231" s="156"/>
      <c r="O231" s="164"/>
      <c r="P231" s="165"/>
    </row>
    <row r="232" spans="1:18" s="62" customFormat="1" ht="12.75">
      <c r="A232" s="92"/>
      <c r="B232" s="94">
        <v>4</v>
      </c>
      <c r="C232" s="104" t="s">
        <v>167</v>
      </c>
      <c r="D232" s="94" t="s">
        <v>165</v>
      </c>
      <c r="E232" s="109" t="s">
        <v>165</v>
      </c>
      <c r="F232" s="56"/>
      <c r="G232" s="57"/>
      <c r="H232" s="162"/>
      <c r="I232" s="156"/>
      <c r="J232" s="163">
        <f>SUM(H233)</f>
        <v>0</v>
      </c>
      <c r="K232" s="156"/>
      <c r="L232" s="156"/>
      <c r="M232" s="156"/>
      <c r="N232" s="156"/>
      <c r="O232" s="164"/>
      <c r="P232" s="165"/>
      <c r="Q232" s="13"/>
      <c r="R232" s="13"/>
    </row>
    <row r="233" spans="1:18" s="62" customFormat="1" ht="12.75">
      <c r="A233" s="92"/>
      <c r="B233" s="94" t="s">
        <v>33</v>
      </c>
      <c r="C233" s="104" t="s">
        <v>34</v>
      </c>
      <c r="D233" s="94" t="s">
        <v>35</v>
      </c>
      <c r="E233" s="109">
        <v>0.11</v>
      </c>
      <c r="F233" s="57">
        <f>PRODUCT(F227,E233)</f>
        <v>0.057640000000000004</v>
      </c>
      <c r="G233" s="57">
        <v>0</v>
      </c>
      <c r="H233" s="76">
        <f>PRODUCT(F233,G233)</f>
        <v>0</v>
      </c>
      <c r="I233" s="156"/>
      <c r="J233" s="163"/>
      <c r="K233" s="156"/>
      <c r="L233" s="156"/>
      <c r="M233" s="156"/>
      <c r="N233" s="156">
        <f>F233</f>
        <v>0.057640000000000004</v>
      </c>
      <c r="O233" s="164"/>
      <c r="P233" s="165"/>
      <c r="Q233" s="13"/>
      <c r="R233" s="13"/>
    </row>
    <row r="234" spans="1:16" s="62" customFormat="1" ht="25.5">
      <c r="A234" s="44">
        <v>2</v>
      </c>
      <c r="B234" s="175" t="s">
        <v>173</v>
      </c>
      <c r="C234" s="107" t="s">
        <v>174</v>
      </c>
      <c r="D234" s="38" t="s">
        <v>359</v>
      </c>
      <c r="E234" s="109"/>
      <c r="F234" s="91">
        <v>0.92</v>
      </c>
      <c r="G234" s="46"/>
      <c r="H234" s="173"/>
      <c r="I234" s="7"/>
      <c r="J234" s="7"/>
      <c r="K234" s="43"/>
      <c r="L234" s="4"/>
      <c r="M234" s="4"/>
      <c r="N234" s="4"/>
      <c r="O234" s="7"/>
      <c r="P234" s="7"/>
    </row>
    <row r="235" spans="1:16" s="62" customFormat="1" ht="12.75">
      <c r="A235" s="44"/>
      <c r="B235" s="94"/>
      <c r="C235" s="31" t="s">
        <v>18</v>
      </c>
      <c r="D235" s="32"/>
      <c r="E235" s="33">
        <f>0.94*80%</f>
        <v>0.752</v>
      </c>
      <c r="F235" s="34"/>
      <c r="G235" s="46"/>
      <c r="H235" s="173"/>
      <c r="I235" s="7"/>
      <c r="J235" s="7"/>
      <c r="K235" s="4"/>
      <c r="L235" s="4"/>
      <c r="M235" s="43"/>
      <c r="N235" s="4"/>
      <c r="O235" s="7"/>
      <c r="P235" s="7"/>
    </row>
    <row r="236" spans="1:15" ht="12.75">
      <c r="A236" s="44"/>
      <c r="B236" s="94"/>
      <c r="C236" s="31" t="s">
        <v>19</v>
      </c>
      <c r="D236" s="38"/>
      <c r="E236" s="168">
        <v>0.68</v>
      </c>
      <c r="F236" s="176"/>
      <c r="G236" s="176"/>
      <c r="H236" s="177"/>
      <c r="I236" s="126"/>
      <c r="J236" s="126"/>
      <c r="K236" s="1"/>
      <c r="L236" s="1"/>
      <c r="M236" s="1"/>
      <c r="N236" s="130"/>
      <c r="O236" s="37">
        <f>SUM(H237:H239)*E236</f>
        <v>1620.9721408000003</v>
      </c>
    </row>
    <row r="237" spans="1:16" s="13" customFormat="1" ht="12.75">
      <c r="A237" s="44"/>
      <c r="B237" s="101">
        <v>1</v>
      </c>
      <c r="C237" s="172" t="s">
        <v>20</v>
      </c>
      <c r="D237" s="101" t="s">
        <v>21</v>
      </c>
      <c r="E237" s="103">
        <v>38.3</v>
      </c>
      <c r="F237" s="57">
        <f>PRODUCT(F234,E237)</f>
        <v>35.236</v>
      </c>
      <c r="G237" s="46">
        <v>65.64</v>
      </c>
      <c r="H237" s="178">
        <f>PRODUCT(F237,G237)</f>
        <v>2312.89104</v>
      </c>
      <c r="I237" s="1"/>
      <c r="J237" s="1"/>
      <c r="K237" s="1"/>
      <c r="L237" s="37">
        <f>SUM(H237)</f>
        <v>2312.89104</v>
      </c>
      <c r="M237" s="1"/>
      <c r="N237" s="1"/>
      <c r="O237"/>
      <c r="P237" s="7"/>
    </row>
    <row r="238" spans="1:16" s="13" customFormat="1" ht="12.75">
      <c r="A238" s="44"/>
      <c r="B238" s="123"/>
      <c r="C238" s="172" t="s">
        <v>22</v>
      </c>
      <c r="D238" s="101" t="s">
        <v>165</v>
      </c>
      <c r="E238" s="103">
        <v>2</v>
      </c>
      <c r="F238" s="57"/>
      <c r="G238" s="57"/>
      <c r="H238" s="178"/>
      <c r="I238" s="1"/>
      <c r="J238" s="1"/>
      <c r="K238" s="37">
        <f>SUM(H237:H239)*E235</f>
        <v>1792.6044851200002</v>
      </c>
      <c r="L238" s="1"/>
      <c r="M238" s="1"/>
      <c r="N238" s="1"/>
      <c r="O238"/>
      <c r="P238" s="7"/>
    </row>
    <row r="239" spans="1:15" ht="12.75">
      <c r="A239" s="44"/>
      <c r="B239" s="101">
        <v>2</v>
      </c>
      <c r="C239" s="172" t="s">
        <v>23</v>
      </c>
      <c r="D239" s="101" t="s">
        <v>21</v>
      </c>
      <c r="E239" s="103">
        <v>0.86</v>
      </c>
      <c r="F239" s="57">
        <f>PRODUCT(F234,E239)</f>
        <v>0.7912</v>
      </c>
      <c r="G239" s="34">
        <v>89.6</v>
      </c>
      <c r="H239" s="178">
        <f>PRODUCT(F239,G239)</f>
        <v>70.89152</v>
      </c>
      <c r="I239" s="1"/>
      <c r="J239" s="1"/>
      <c r="K239" s="1"/>
      <c r="L239" s="1"/>
      <c r="M239" s="37">
        <f>SUM(H239)</f>
        <v>70.89152</v>
      </c>
      <c r="N239" s="1"/>
      <c r="O239"/>
    </row>
    <row r="240" spans="1:15" ht="12.75">
      <c r="A240" s="44"/>
      <c r="B240" s="101">
        <v>3</v>
      </c>
      <c r="C240" s="172" t="s">
        <v>166</v>
      </c>
      <c r="D240" s="101" t="s">
        <v>165</v>
      </c>
      <c r="E240" s="103" t="s">
        <v>165</v>
      </c>
      <c r="F240" s="56"/>
      <c r="G240" s="57"/>
      <c r="H240" s="179"/>
      <c r="I240" s="125">
        <f>SUM(H241)</f>
        <v>191.53369600000002</v>
      </c>
      <c r="J240" s="126"/>
      <c r="K240"/>
      <c r="L240"/>
      <c r="M240"/>
      <c r="N240"/>
      <c r="O240" s="127"/>
    </row>
    <row r="241" spans="1:15" ht="12.75">
      <c r="A241" s="44"/>
      <c r="B241" s="101">
        <v>31121</v>
      </c>
      <c r="C241" s="172" t="s">
        <v>25</v>
      </c>
      <c r="D241" s="101" t="s">
        <v>26</v>
      </c>
      <c r="E241" s="103">
        <v>0.86</v>
      </c>
      <c r="F241" s="57">
        <f>PRODUCT(F234,E241)</f>
        <v>0.7912</v>
      </c>
      <c r="G241" s="67">
        <v>242.08</v>
      </c>
      <c r="H241" s="178">
        <f>PRODUCT(F241,G241)</f>
        <v>191.53369600000002</v>
      </c>
      <c r="I241" s="126"/>
      <c r="J241" s="126"/>
      <c r="O241" s="127"/>
    </row>
    <row r="242" spans="1:10" ht="12.75">
      <c r="A242" s="44"/>
      <c r="B242" s="101">
        <v>4</v>
      </c>
      <c r="C242" s="172" t="s">
        <v>167</v>
      </c>
      <c r="D242" s="101" t="s">
        <v>165</v>
      </c>
      <c r="E242" s="103" t="s">
        <v>165</v>
      </c>
      <c r="F242" s="34"/>
      <c r="G242" s="34"/>
      <c r="H242" s="173"/>
      <c r="J242" s="97">
        <f>SUM(H243)</f>
        <v>0</v>
      </c>
    </row>
    <row r="243" spans="1:14" ht="12.75">
      <c r="A243" s="44"/>
      <c r="B243" s="101" t="s">
        <v>33</v>
      </c>
      <c r="C243" s="172" t="s">
        <v>34</v>
      </c>
      <c r="D243" s="101" t="s">
        <v>35</v>
      </c>
      <c r="E243" s="103">
        <v>2.49</v>
      </c>
      <c r="F243" s="34">
        <f>E243*F234</f>
        <v>2.2908000000000004</v>
      </c>
      <c r="G243" s="34">
        <v>0</v>
      </c>
      <c r="H243" s="178">
        <f>PRODUCT(F243,G243)</f>
        <v>0</v>
      </c>
      <c r="N243" s="7">
        <f>F243</f>
        <v>2.2908000000000004</v>
      </c>
    </row>
    <row r="244" spans="1:16" s="62" customFormat="1" ht="25.5">
      <c r="A244" s="44">
        <v>3</v>
      </c>
      <c r="B244" s="53" t="s">
        <v>171</v>
      </c>
      <c r="C244" s="107" t="s">
        <v>172</v>
      </c>
      <c r="D244" s="38" t="s">
        <v>359</v>
      </c>
      <c r="E244" s="109"/>
      <c r="F244" s="166">
        <v>0.92</v>
      </c>
      <c r="G244" s="57"/>
      <c r="H244" s="167"/>
      <c r="I244"/>
      <c r="J244"/>
      <c r="K244"/>
      <c r="L244"/>
      <c r="M244"/>
      <c r="N244"/>
      <c r="O244"/>
      <c r="P244" s="7"/>
    </row>
    <row r="245" spans="1:16" s="62" customFormat="1" ht="12.75">
      <c r="A245" s="44"/>
      <c r="B245" s="94"/>
      <c r="C245" s="31" t="s">
        <v>18</v>
      </c>
      <c r="D245" s="32"/>
      <c r="E245" s="33">
        <f>0.94*80%</f>
        <v>0.752</v>
      </c>
      <c r="F245" s="70"/>
      <c r="G245" s="57"/>
      <c r="H245" s="167"/>
      <c r="I245"/>
      <c r="J245" s="86"/>
      <c r="K245"/>
      <c r="L245"/>
      <c r="M245"/>
      <c r="N245"/>
      <c r="O245"/>
      <c r="P245" s="7"/>
    </row>
    <row r="246" spans="1:16" s="62" customFormat="1" ht="12.75">
      <c r="A246" s="44"/>
      <c r="B246" s="94"/>
      <c r="C246" s="31" t="s">
        <v>19</v>
      </c>
      <c r="D246" s="38"/>
      <c r="E246" s="168">
        <v>0.68</v>
      </c>
      <c r="F246" s="63"/>
      <c r="G246" s="46"/>
      <c r="H246" s="169"/>
      <c r="I246" s="170"/>
      <c r="J246" s="170"/>
      <c r="K246" s="170"/>
      <c r="L246" s="171"/>
      <c r="M246" s="170"/>
      <c r="N246" s="170"/>
      <c r="O246" s="43">
        <f>SUM(H247:H249)*E246</f>
        <v>314.96382528000004</v>
      </c>
      <c r="P246" s="7"/>
    </row>
    <row r="247" spans="1:16" s="62" customFormat="1" ht="12.75">
      <c r="A247" s="44"/>
      <c r="B247" s="101">
        <v>1</v>
      </c>
      <c r="C247" s="172" t="s">
        <v>20</v>
      </c>
      <c r="D247" s="101" t="s">
        <v>21</v>
      </c>
      <c r="E247" s="103">
        <v>7.67</v>
      </c>
      <c r="F247" s="34">
        <f>PRODUCT(F244,E247)</f>
        <v>7.0564</v>
      </c>
      <c r="G247" s="46">
        <v>65.64</v>
      </c>
      <c r="H247" s="173">
        <f>PRODUCT(F247,G247)</f>
        <v>463.182096</v>
      </c>
      <c r="I247" s="152"/>
      <c r="J247" s="152"/>
      <c r="K247" s="152"/>
      <c r="L247" s="43">
        <f>SUM(H247)</f>
        <v>463.182096</v>
      </c>
      <c r="M247" s="152"/>
      <c r="N247" s="4"/>
      <c r="O247" s="4"/>
      <c r="P247" s="7"/>
    </row>
    <row r="248" spans="1:16" s="62" customFormat="1" ht="12.75">
      <c r="A248" s="44"/>
      <c r="B248" s="123"/>
      <c r="C248" s="172" t="s">
        <v>22</v>
      </c>
      <c r="D248" s="101" t="s">
        <v>165</v>
      </c>
      <c r="E248" s="103">
        <v>2</v>
      </c>
      <c r="F248" s="91"/>
      <c r="G248" s="34"/>
      <c r="H248" s="174"/>
      <c r="I248" s="152"/>
      <c r="J248" s="152"/>
      <c r="K248" s="43">
        <f>SUM(H247:H247)*E245</f>
        <v>348.312936192</v>
      </c>
      <c r="L248" s="151"/>
      <c r="M248" s="152"/>
      <c r="N248" s="4"/>
      <c r="O248" s="4"/>
      <c r="P248" s="7"/>
    </row>
    <row r="249" spans="1:16" s="62" customFormat="1" ht="12.75">
      <c r="A249" s="44"/>
      <c r="B249" s="101">
        <v>4</v>
      </c>
      <c r="C249" s="172" t="s">
        <v>167</v>
      </c>
      <c r="D249" s="101" t="s">
        <v>165</v>
      </c>
      <c r="E249" s="103" t="s">
        <v>165</v>
      </c>
      <c r="F249" s="34"/>
      <c r="G249" s="46"/>
      <c r="H249" s="174"/>
      <c r="I249" s="7"/>
      <c r="J249" s="97">
        <f>SUM(H250:H250)</f>
        <v>0</v>
      </c>
      <c r="K249" s="7"/>
      <c r="L249" s="7"/>
      <c r="M249" s="7"/>
      <c r="N249" s="7"/>
      <c r="O249" s="7"/>
      <c r="P249" s="7"/>
    </row>
    <row r="250" spans="1:16" s="62" customFormat="1" ht="12.75">
      <c r="A250" s="44"/>
      <c r="B250" s="101" t="s">
        <v>33</v>
      </c>
      <c r="C250" s="172" t="s">
        <v>34</v>
      </c>
      <c r="D250" s="101" t="s">
        <v>35</v>
      </c>
      <c r="E250" s="103">
        <v>0.7</v>
      </c>
      <c r="F250" s="34">
        <f>PRODUCT(F244,E250)</f>
        <v>0.644</v>
      </c>
      <c r="G250" s="46">
        <v>0</v>
      </c>
      <c r="H250" s="173">
        <f>PRODUCT(F250,G250)</f>
        <v>0</v>
      </c>
      <c r="I250" s="7"/>
      <c r="J250" s="7"/>
      <c r="K250" s="7"/>
      <c r="L250" s="7"/>
      <c r="M250" s="7"/>
      <c r="N250" s="7">
        <f>F250</f>
        <v>0.644</v>
      </c>
      <c r="O250" s="7"/>
      <c r="P250" s="7"/>
    </row>
    <row r="251" spans="1:14" s="13" customFormat="1" ht="25.5">
      <c r="A251" s="44">
        <v>4</v>
      </c>
      <c r="B251" s="38" t="s">
        <v>177</v>
      </c>
      <c r="C251" s="180" t="s">
        <v>178</v>
      </c>
      <c r="D251" s="114" t="s">
        <v>361</v>
      </c>
      <c r="E251" s="45"/>
      <c r="F251" s="91">
        <f>84*0.1</f>
        <v>8.4</v>
      </c>
      <c r="G251" s="34"/>
      <c r="H251" s="36"/>
      <c r="I251" s="151"/>
      <c r="J251" s="152"/>
      <c r="K251" s="152"/>
      <c r="L251" s="151"/>
      <c r="M251" s="152"/>
      <c r="N251" s="152"/>
    </row>
    <row r="252" spans="1:14" s="13" customFormat="1" ht="12.75">
      <c r="A252" s="44"/>
      <c r="B252" s="30" t="s">
        <v>38</v>
      </c>
      <c r="C252" s="31" t="s">
        <v>18</v>
      </c>
      <c r="D252" s="32"/>
      <c r="E252" s="33">
        <f>0.94*110.7%</f>
        <v>1.0405799999999998</v>
      </c>
      <c r="F252" s="34"/>
      <c r="G252" s="57"/>
      <c r="H252" s="36"/>
      <c r="I252" s="4"/>
      <c r="J252" s="4"/>
      <c r="K252" s="4"/>
      <c r="L252" s="43"/>
      <c r="M252" s="4"/>
      <c r="N252" s="4"/>
    </row>
    <row r="253" spans="1:15" s="13" customFormat="1" ht="12.75">
      <c r="A253" s="44"/>
      <c r="B253" s="32" t="s">
        <v>39</v>
      </c>
      <c r="C253" s="31" t="s">
        <v>19</v>
      </c>
      <c r="D253" s="38"/>
      <c r="E253" s="33">
        <v>0.6375</v>
      </c>
      <c r="F253" s="63"/>
      <c r="G253" s="46"/>
      <c r="H253" s="40"/>
      <c r="I253" s="170"/>
      <c r="J253" s="170"/>
      <c r="K253" s="170"/>
      <c r="L253" s="171"/>
      <c r="M253" s="170"/>
      <c r="N253" s="170"/>
      <c r="O253" s="43">
        <f>SUM(H254:H256)*E253</f>
        <v>1570.9256639999999</v>
      </c>
    </row>
    <row r="254" spans="1:15" s="13" customFormat="1" ht="12.75">
      <c r="A254" s="44"/>
      <c r="B254" s="101">
        <v>1</v>
      </c>
      <c r="C254" s="172" t="s">
        <v>20</v>
      </c>
      <c r="D254" s="101" t="s">
        <v>21</v>
      </c>
      <c r="E254" s="103">
        <v>3.82</v>
      </c>
      <c r="F254" s="34">
        <f>E254*F251</f>
        <v>32.088</v>
      </c>
      <c r="G254" s="34">
        <v>66.24</v>
      </c>
      <c r="H254" s="173">
        <f>PRODUCT(F254,G254)</f>
        <v>2125.5091199999997</v>
      </c>
      <c r="I254" s="41"/>
      <c r="J254" s="41"/>
      <c r="K254" s="4"/>
      <c r="L254" s="43">
        <f>SUM(H254)</f>
        <v>2125.5091199999997</v>
      </c>
      <c r="M254" s="4"/>
      <c r="N254" s="4"/>
      <c r="O254" s="4"/>
    </row>
    <row r="255" spans="1:15" s="13" customFormat="1" ht="12.75">
      <c r="A255" s="44"/>
      <c r="B255" s="123"/>
      <c r="C255" s="172" t="s">
        <v>22</v>
      </c>
      <c r="D255" s="101"/>
      <c r="E255" s="103">
        <v>2.1</v>
      </c>
      <c r="F255" s="91"/>
      <c r="G255" s="34"/>
      <c r="H255" s="36"/>
      <c r="K255" s="43">
        <f>SUM(H254:H256)*E252</f>
        <v>2564.1942391295993</v>
      </c>
      <c r="L255" s="4"/>
      <c r="M255" s="4"/>
      <c r="N255" s="4"/>
      <c r="O255" s="4"/>
    </row>
    <row r="256" spans="1:13" s="13" customFormat="1" ht="12.75">
      <c r="A256" s="44"/>
      <c r="B256" s="101">
        <v>2</v>
      </c>
      <c r="C256" s="172" t="s">
        <v>23</v>
      </c>
      <c r="D256" s="101" t="s">
        <v>21</v>
      </c>
      <c r="E256" s="103">
        <v>0.45</v>
      </c>
      <c r="F256" s="34">
        <f>E256*F251</f>
        <v>3.7800000000000002</v>
      </c>
      <c r="G256" s="57">
        <v>89.6</v>
      </c>
      <c r="H256" s="173">
        <f>PRODUCT(F256,G256)</f>
        <v>338.688</v>
      </c>
      <c r="K256" s="4"/>
      <c r="L256" s="4"/>
      <c r="M256" s="43">
        <f>SUM(H256)</f>
        <v>338.688</v>
      </c>
    </row>
    <row r="257" spans="1:10" s="13" customFormat="1" ht="12.75">
      <c r="A257" s="44"/>
      <c r="B257" s="101">
        <v>3</v>
      </c>
      <c r="C257" s="172" t="s">
        <v>24</v>
      </c>
      <c r="D257" s="101"/>
      <c r="E257" s="103"/>
      <c r="F257" s="34"/>
      <c r="G257" s="46"/>
      <c r="H257" s="36"/>
      <c r="I257" s="181">
        <f>SUM(H258)</f>
        <v>970.4545200000001</v>
      </c>
      <c r="J257" s="137"/>
    </row>
    <row r="258" spans="1:10" s="13" customFormat="1" ht="12.75">
      <c r="A258" s="44"/>
      <c r="B258" s="101">
        <v>30101</v>
      </c>
      <c r="C258" s="172" t="s">
        <v>138</v>
      </c>
      <c r="D258" s="101" t="s">
        <v>26</v>
      </c>
      <c r="E258" s="103">
        <v>0.27</v>
      </c>
      <c r="F258" s="34">
        <f>E258*F251</f>
        <v>2.2680000000000002</v>
      </c>
      <c r="G258" s="46">
        <v>427.89</v>
      </c>
      <c r="H258" s="173">
        <f>PRODUCT(F258,G258)</f>
        <v>970.4545200000001</v>
      </c>
      <c r="J258" s="137"/>
    </row>
    <row r="259" spans="1:14" s="13" customFormat="1" ht="12.75" customHeight="1">
      <c r="A259" s="44"/>
      <c r="B259" s="101">
        <v>31121</v>
      </c>
      <c r="C259" s="172" t="s">
        <v>139</v>
      </c>
      <c r="D259" s="101" t="s">
        <v>26</v>
      </c>
      <c r="E259" s="103">
        <v>0.18</v>
      </c>
      <c r="F259" s="34">
        <f>E259*F251</f>
        <v>1.512</v>
      </c>
      <c r="G259" s="46">
        <v>242.08</v>
      </c>
      <c r="H259" s="173">
        <f>PRODUCT(F259,G259)</f>
        <v>366.02496</v>
      </c>
      <c r="J259" s="182"/>
      <c r="K259" s="4"/>
      <c r="L259" s="4"/>
      <c r="M259" s="43"/>
      <c r="N259" s="4"/>
    </row>
    <row r="260" spans="1:14" s="13" customFormat="1" ht="12.75">
      <c r="A260" s="44"/>
      <c r="B260" s="101">
        <v>4</v>
      </c>
      <c r="C260" s="172" t="s">
        <v>27</v>
      </c>
      <c r="D260" s="101"/>
      <c r="E260" s="103"/>
      <c r="F260" s="34"/>
      <c r="G260" s="46"/>
      <c r="H260" s="36"/>
      <c r="I260" s="151"/>
      <c r="J260" s="183">
        <f>SUM(H261)</f>
        <v>11371.575600000004</v>
      </c>
      <c r="K260" s="152"/>
      <c r="L260" s="151"/>
      <c r="M260" s="152"/>
      <c r="N260" s="152"/>
    </row>
    <row r="261" spans="1:16" s="13" customFormat="1" ht="12.75">
      <c r="A261" s="44"/>
      <c r="B261" s="101" t="s">
        <v>179</v>
      </c>
      <c r="C261" s="172" t="s">
        <v>180</v>
      </c>
      <c r="D261" s="101" t="s">
        <v>30</v>
      </c>
      <c r="E261" s="103">
        <v>1.1</v>
      </c>
      <c r="F261" s="34">
        <f>E261*F251</f>
        <v>9.240000000000002</v>
      </c>
      <c r="G261" s="46">
        <v>1230.69</v>
      </c>
      <c r="H261" s="173">
        <f>PRODUCT(F261,G261)</f>
        <v>11371.575600000004</v>
      </c>
      <c r="K261" s="137"/>
      <c r="N261" s="170"/>
      <c r="P261"/>
    </row>
    <row r="262" spans="1:15" ht="25.5">
      <c r="A262" s="92">
        <v>5</v>
      </c>
      <c r="B262" s="53" t="s">
        <v>181</v>
      </c>
      <c r="C262" s="107" t="s">
        <v>182</v>
      </c>
      <c r="D262" s="38" t="s">
        <v>359</v>
      </c>
      <c r="E262" s="109"/>
      <c r="F262" s="91">
        <v>0.84</v>
      </c>
      <c r="G262" s="34"/>
      <c r="H262" s="36"/>
      <c r="O262" s="4"/>
    </row>
    <row r="263" spans="1:14" ht="12.75">
      <c r="A263" s="92"/>
      <c r="B263" s="30" t="s">
        <v>38</v>
      </c>
      <c r="C263" s="31" t="s">
        <v>18</v>
      </c>
      <c r="D263" s="32"/>
      <c r="E263" s="33">
        <f>0.94*110.7%</f>
        <v>1.0405799999999998</v>
      </c>
      <c r="F263" s="34"/>
      <c r="G263" s="34"/>
      <c r="H263" s="36"/>
      <c r="I263" s="37"/>
      <c r="J263" s="1"/>
      <c r="K263" s="1"/>
      <c r="L263" s="37"/>
      <c r="M263" s="1"/>
      <c r="N263" s="1"/>
    </row>
    <row r="264" spans="1:15" ht="12.75">
      <c r="A264" s="92"/>
      <c r="B264" s="32" t="s">
        <v>39</v>
      </c>
      <c r="C264" s="31" t="s">
        <v>19</v>
      </c>
      <c r="D264" s="38"/>
      <c r="E264" s="33">
        <v>0.6375</v>
      </c>
      <c r="F264" s="34"/>
      <c r="G264" s="34"/>
      <c r="H264" s="40"/>
      <c r="I264" s="41"/>
      <c r="J264" s="41"/>
      <c r="K264" s="4"/>
      <c r="L264" s="4"/>
      <c r="M264" s="4"/>
      <c r="N264" s="42"/>
      <c r="O264" s="43">
        <f>SUM(H265:H267)*E264</f>
        <v>2201.7001050449994</v>
      </c>
    </row>
    <row r="265" spans="1:14" ht="12.75">
      <c r="A265" s="92"/>
      <c r="B265" s="94">
        <v>1</v>
      </c>
      <c r="C265" s="104" t="s">
        <v>20</v>
      </c>
      <c r="D265" s="94" t="s">
        <v>21</v>
      </c>
      <c r="E265" s="55">
        <f>1.2*1.15*40.43</f>
        <v>55.7934</v>
      </c>
      <c r="F265" s="184">
        <f>PRODUCT(F262,E265)</f>
        <v>46.866456</v>
      </c>
      <c r="G265" s="46">
        <v>66.85</v>
      </c>
      <c r="H265" s="68">
        <f>PRODUCT(F265,G265)</f>
        <v>3133.0225835999995</v>
      </c>
      <c r="I265" s="41"/>
      <c r="J265" s="41"/>
      <c r="K265" s="4"/>
      <c r="L265" s="43">
        <f>SUM(H265)</f>
        <v>3133.0225835999995</v>
      </c>
      <c r="M265" s="4"/>
      <c r="N265" s="4"/>
    </row>
    <row r="266" spans="1:14" ht="12.75">
      <c r="A266" s="92"/>
      <c r="B266" s="69"/>
      <c r="C266" s="104" t="s">
        <v>22</v>
      </c>
      <c r="D266" s="94"/>
      <c r="E266" s="55">
        <v>2.2</v>
      </c>
      <c r="F266" s="184"/>
      <c r="G266" s="184"/>
      <c r="H266" s="68"/>
      <c r="K266" s="43">
        <f>SUM(H265:H267)*E263</f>
        <v>3593.796227933687</v>
      </c>
      <c r="L266" s="4"/>
      <c r="M266" s="4"/>
      <c r="N266" s="4"/>
    </row>
    <row r="267" spans="1:14" ht="12.75">
      <c r="A267" s="44"/>
      <c r="B267" s="94">
        <v>2</v>
      </c>
      <c r="C267" s="104" t="s">
        <v>23</v>
      </c>
      <c r="D267" s="94" t="s">
        <v>21</v>
      </c>
      <c r="E267" s="55">
        <f>1.2*1.25*2.84</f>
        <v>4.26</v>
      </c>
      <c r="F267" s="184">
        <f>PRODUCT(F262,E267)</f>
        <v>3.5784</v>
      </c>
      <c r="G267" s="96">
        <v>89.6</v>
      </c>
      <c r="H267" s="68">
        <f>PRODUCT(F267,G267)</f>
        <v>320.62463999999994</v>
      </c>
      <c r="K267" s="4"/>
      <c r="L267" s="4"/>
      <c r="M267" s="43">
        <f>SUM(H267)</f>
        <v>320.62463999999994</v>
      </c>
      <c r="N267" s="4"/>
    </row>
    <row r="268" spans="1:14" ht="12.75">
      <c r="A268" s="44"/>
      <c r="B268" s="32">
        <v>3</v>
      </c>
      <c r="C268" s="35" t="s">
        <v>24</v>
      </c>
      <c r="D268" s="185"/>
      <c r="E268" s="100"/>
      <c r="F268" s="186"/>
      <c r="G268" s="186"/>
      <c r="H268" s="187"/>
      <c r="I268" s="137">
        <f>SUM(H269:H272)</f>
        <v>1212.3691019999999</v>
      </c>
      <c r="J268" s="13"/>
      <c r="K268" s="13"/>
      <c r="L268" s="13"/>
      <c r="M268" s="13"/>
      <c r="N268" s="13"/>
    </row>
    <row r="269" spans="1:14" ht="12.75">
      <c r="A269" s="44"/>
      <c r="B269" s="32">
        <v>50102</v>
      </c>
      <c r="C269" s="31" t="s">
        <v>183</v>
      </c>
      <c r="D269" s="32" t="s">
        <v>26</v>
      </c>
      <c r="E269" s="100">
        <f>1.2*1.25*0.81</f>
        <v>1.215</v>
      </c>
      <c r="F269" s="184">
        <f>PRODUCT(F262,E269)</f>
        <v>1.0206</v>
      </c>
      <c r="G269" s="46">
        <v>286.57</v>
      </c>
      <c r="H269" s="68">
        <f>PRODUCT(F269,G269)</f>
        <v>292.473342</v>
      </c>
      <c r="I269" s="13"/>
      <c r="J269" s="13"/>
      <c r="K269" s="13"/>
      <c r="L269" s="13"/>
      <c r="M269" s="13"/>
      <c r="N269" s="13"/>
    </row>
    <row r="270" spans="1:14" ht="12.75">
      <c r="A270" s="44"/>
      <c r="B270" s="32">
        <v>30101</v>
      </c>
      <c r="C270" s="31" t="s">
        <v>138</v>
      </c>
      <c r="D270" s="32" t="s">
        <v>26</v>
      </c>
      <c r="E270" s="100">
        <f>1.2*1.25*1.2</f>
        <v>1.7999999999999998</v>
      </c>
      <c r="F270" s="184">
        <f>PRODUCT(F262,E270)</f>
        <v>1.5119999999999998</v>
      </c>
      <c r="G270" s="46">
        <v>427.89</v>
      </c>
      <c r="H270" s="68">
        <f>PRODUCT(F270,G270)</f>
        <v>646.9696799999999</v>
      </c>
      <c r="I270" s="13"/>
      <c r="J270" s="13"/>
      <c r="K270" s="13"/>
      <c r="L270" s="13"/>
      <c r="M270" s="13"/>
      <c r="N270" s="13"/>
    </row>
    <row r="271" spans="1:14" ht="12.75">
      <c r="A271" s="44"/>
      <c r="B271" s="32">
        <v>111301</v>
      </c>
      <c r="C271" s="31" t="s">
        <v>184</v>
      </c>
      <c r="D271" s="32" t="s">
        <v>26</v>
      </c>
      <c r="E271" s="100">
        <f>1.2*1.25*3.96</f>
        <v>5.9399999999999995</v>
      </c>
      <c r="F271" s="184">
        <f>PRODUCT(F262,E271)</f>
        <v>4.989599999999999</v>
      </c>
      <c r="G271" s="184">
        <v>3.96</v>
      </c>
      <c r="H271" s="68">
        <f>PRODUCT(F271,G271)</f>
        <v>19.758815999999996</v>
      </c>
      <c r="I271" s="13"/>
      <c r="J271" s="13"/>
      <c r="K271" s="13"/>
      <c r="L271" s="13"/>
      <c r="M271" s="13"/>
      <c r="N271" s="13"/>
    </row>
    <row r="272" spans="1:14" ht="12.75">
      <c r="A272" s="44"/>
      <c r="B272" s="48">
        <v>31121</v>
      </c>
      <c r="C272" s="35" t="s">
        <v>82</v>
      </c>
      <c r="D272" s="32" t="s">
        <v>26</v>
      </c>
      <c r="E272" s="100">
        <f>1.2*1.25*0.83</f>
        <v>1.2449999999999999</v>
      </c>
      <c r="F272" s="184">
        <f>PRODUCT(F262,E272)</f>
        <v>1.0457999999999998</v>
      </c>
      <c r="G272" s="67">
        <v>242.08</v>
      </c>
      <c r="H272" s="68">
        <f>PRODUCT(F272,G272)</f>
        <v>253.167264</v>
      </c>
      <c r="I272" s="13"/>
      <c r="J272" s="13"/>
      <c r="K272" s="13"/>
      <c r="L272" s="13"/>
      <c r="M272" s="13"/>
      <c r="N272" s="13"/>
    </row>
    <row r="273" spans="1:15" ht="12.75">
      <c r="A273" s="44"/>
      <c r="B273" s="32">
        <v>4</v>
      </c>
      <c r="C273" s="35" t="s">
        <v>27</v>
      </c>
      <c r="D273" s="32"/>
      <c r="E273" s="100"/>
      <c r="F273" s="184"/>
      <c r="G273" s="91"/>
      <c r="H273" s="40"/>
      <c r="I273" s="41"/>
      <c r="J273" s="188">
        <f>SUM(H274:H275)</f>
        <v>10426.801895999999</v>
      </c>
      <c r="K273" s="4"/>
      <c r="L273" s="4"/>
      <c r="M273" s="4"/>
      <c r="N273" s="42"/>
      <c r="O273" s="43"/>
    </row>
    <row r="274" spans="1:14" ht="12.75">
      <c r="A274" s="44"/>
      <c r="B274" s="32" t="s">
        <v>185</v>
      </c>
      <c r="C274" s="35" t="s">
        <v>186</v>
      </c>
      <c r="D274" s="32" t="s">
        <v>30</v>
      </c>
      <c r="E274" s="100">
        <v>3.06</v>
      </c>
      <c r="F274" s="184">
        <f>PRODUCT(F262,E274)</f>
        <v>2.5704</v>
      </c>
      <c r="G274" s="46">
        <v>3578.6</v>
      </c>
      <c r="H274" s="68">
        <f>PRODUCT(F274,G274)</f>
        <v>9198.433439999999</v>
      </c>
      <c r="K274" s="43"/>
      <c r="L274" s="4"/>
      <c r="M274" s="4"/>
      <c r="N274" s="4"/>
    </row>
    <row r="275" spans="1:14" ht="12.75">
      <c r="A275" s="44"/>
      <c r="B275" s="32" t="s">
        <v>187</v>
      </c>
      <c r="C275" s="35" t="s">
        <v>188</v>
      </c>
      <c r="D275" s="32" t="s">
        <v>30</v>
      </c>
      <c r="E275" s="100">
        <v>3.06</v>
      </c>
      <c r="F275" s="184">
        <f>PRODUCT(F262,E275)</f>
        <v>2.5704</v>
      </c>
      <c r="G275" s="189">
        <v>477.89</v>
      </c>
      <c r="H275" s="68">
        <f>PRODUCT(F275,G275)</f>
        <v>1228.368456</v>
      </c>
      <c r="K275" s="4"/>
      <c r="L275" s="4"/>
      <c r="M275" s="43"/>
      <c r="N275" s="4"/>
    </row>
    <row r="276" spans="1:14" ht="12.75">
      <c r="A276" s="44"/>
      <c r="B276" s="32" t="s">
        <v>146</v>
      </c>
      <c r="C276" s="35" t="s">
        <v>32</v>
      </c>
      <c r="D276" s="32" t="s">
        <v>30</v>
      </c>
      <c r="E276" s="100">
        <v>3.5</v>
      </c>
      <c r="F276" s="184">
        <f>PRODUCT(F262,E276)</f>
        <v>2.94</v>
      </c>
      <c r="G276" s="189">
        <v>0</v>
      </c>
      <c r="H276" s="68">
        <f>PRODUCT(F276,G276)</f>
        <v>0</v>
      </c>
      <c r="I276" s="4"/>
      <c r="J276" s="151"/>
      <c r="K276" s="4"/>
      <c r="L276" s="4"/>
      <c r="M276" s="4"/>
      <c r="N276" s="43"/>
    </row>
    <row r="277" spans="1:16" ht="25.5">
      <c r="A277" s="190">
        <v>6</v>
      </c>
      <c r="B277" s="191" t="s">
        <v>390</v>
      </c>
      <c r="C277" s="192" t="s">
        <v>391</v>
      </c>
      <c r="D277" s="38" t="s">
        <v>392</v>
      </c>
      <c r="E277" s="193"/>
      <c r="F277" s="194">
        <v>0.0042</v>
      </c>
      <c r="G277" s="195"/>
      <c r="H277" s="196"/>
      <c r="I277" s="197"/>
      <c r="J277" s="197"/>
      <c r="K277" s="197"/>
      <c r="L277" s="197"/>
      <c r="M277" s="197"/>
      <c r="N277" s="197"/>
      <c r="O277" s="83"/>
      <c r="P277"/>
    </row>
    <row r="278" spans="1:16" ht="12.75">
      <c r="A278" s="198"/>
      <c r="B278" s="199" t="s">
        <v>109</v>
      </c>
      <c r="C278" s="193" t="s">
        <v>191</v>
      </c>
      <c r="D278" s="199"/>
      <c r="E278" s="200">
        <f>0.94*108%</f>
        <v>1.0152</v>
      </c>
      <c r="F278" s="195"/>
      <c r="G278" s="195"/>
      <c r="H278" s="196"/>
      <c r="I278" s="197"/>
      <c r="J278" s="197"/>
      <c r="K278" s="197"/>
      <c r="L278" s="197"/>
      <c r="M278" s="197"/>
      <c r="N278" s="197"/>
      <c r="O278" s="83"/>
      <c r="P278"/>
    </row>
    <row r="279" spans="1:16" ht="12.75">
      <c r="A279" s="198"/>
      <c r="B279" s="32" t="s">
        <v>39</v>
      </c>
      <c r="C279" s="201" t="s">
        <v>19</v>
      </c>
      <c r="D279" s="191"/>
      <c r="E279" s="200">
        <v>0.6545</v>
      </c>
      <c r="F279" s="202"/>
      <c r="G279" s="203"/>
      <c r="H279" s="204"/>
      <c r="I279" s="83"/>
      <c r="J279" s="83"/>
      <c r="K279" s="83"/>
      <c r="L279" s="84"/>
      <c r="M279" s="83"/>
      <c r="N279" s="83"/>
      <c r="O279" s="84">
        <f>SUM(H280:H282)*E279</f>
        <v>108.43581627481679</v>
      </c>
      <c r="P279"/>
    </row>
    <row r="280" spans="1:16" ht="12.75">
      <c r="A280" s="198"/>
      <c r="B280" s="199">
        <v>1</v>
      </c>
      <c r="C280" s="205" t="s">
        <v>20</v>
      </c>
      <c r="D280" s="199" t="s">
        <v>21</v>
      </c>
      <c r="E280" s="193">
        <f>1.2*1.15*358.02</f>
        <v>494.0675999999999</v>
      </c>
      <c r="F280" s="195">
        <f>E280*F277</f>
        <v>2.0750839199999995</v>
      </c>
      <c r="G280" s="88">
        <v>73.62</v>
      </c>
      <c r="H280" s="68">
        <f>PRODUCT(F280,G280)</f>
        <v>152.76767819039998</v>
      </c>
      <c r="I280" s="197"/>
      <c r="J280" s="197"/>
      <c r="K280" s="197"/>
      <c r="L280" s="207">
        <f>SUM(H280)</f>
        <v>152.76767819039998</v>
      </c>
      <c r="M280" s="197"/>
      <c r="N280" s="197"/>
      <c r="O280" s="83"/>
      <c r="P280"/>
    </row>
    <row r="281" spans="1:16" ht="12.75">
      <c r="A281" s="198"/>
      <c r="B281" s="208">
        <v>39814</v>
      </c>
      <c r="C281" s="205" t="s">
        <v>22</v>
      </c>
      <c r="D281" s="199"/>
      <c r="E281" s="193">
        <v>3.2</v>
      </c>
      <c r="F281" s="195"/>
      <c r="G281" s="203"/>
      <c r="H281" s="206"/>
      <c r="I281" s="197"/>
      <c r="J281" s="197"/>
      <c r="K281" s="207">
        <f>SUM(H280:H282)*E278</f>
        <v>168.19563129441408</v>
      </c>
      <c r="L281" s="197"/>
      <c r="M281" s="197"/>
      <c r="N281" s="197"/>
      <c r="O281" s="83"/>
      <c r="P281"/>
    </row>
    <row r="282" spans="1:16" ht="12.75">
      <c r="A282" s="198"/>
      <c r="B282" s="199">
        <v>2</v>
      </c>
      <c r="C282" s="205" t="s">
        <v>23</v>
      </c>
      <c r="D282" s="199" t="s">
        <v>21</v>
      </c>
      <c r="E282" s="193">
        <f>1.2*1.25*22.87</f>
        <v>34.305</v>
      </c>
      <c r="F282" s="195">
        <f>E282*F277</f>
        <v>0.144081</v>
      </c>
      <c r="G282" s="66">
        <v>89.6</v>
      </c>
      <c r="H282" s="68">
        <f>PRODUCT(F282,G282)</f>
        <v>12.909657599999997</v>
      </c>
      <c r="I282" s="197"/>
      <c r="J282" s="197"/>
      <c r="K282" s="197"/>
      <c r="L282" s="197"/>
      <c r="M282" s="207">
        <f>SUM(H282)</f>
        <v>12.909657599999997</v>
      </c>
      <c r="N282" s="197"/>
      <c r="O282" s="83"/>
      <c r="P282"/>
    </row>
    <row r="283" spans="1:16" ht="12.75">
      <c r="A283" s="198"/>
      <c r="B283" s="199">
        <v>3</v>
      </c>
      <c r="C283" s="205" t="s">
        <v>24</v>
      </c>
      <c r="D283" s="199"/>
      <c r="E283" s="193"/>
      <c r="F283" s="195"/>
      <c r="G283" s="195"/>
      <c r="H283" s="206"/>
      <c r="I283" s="207">
        <f>SUM(H284:H289)</f>
        <v>66.91119309000001</v>
      </c>
      <c r="J283" s="197"/>
      <c r="K283" s="197"/>
      <c r="L283" s="197"/>
      <c r="M283" s="197"/>
      <c r="N283" s="197"/>
      <c r="O283" s="83"/>
      <c r="P283"/>
    </row>
    <row r="284" spans="1:16" ht="51">
      <c r="A284" s="198"/>
      <c r="B284" s="199">
        <v>20129</v>
      </c>
      <c r="C284" s="205" t="s">
        <v>393</v>
      </c>
      <c r="D284" s="199" t="s">
        <v>26</v>
      </c>
      <c r="E284" s="193">
        <f>1.2*1.25*18.8</f>
        <v>28.200000000000003</v>
      </c>
      <c r="F284" s="195">
        <f>E284*F277</f>
        <v>0.11844</v>
      </c>
      <c r="G284" s="57">
        <v>452.21</v>
      </c>
      <c r="H284" s="68">
        <f>PRODUCT(F284,G284)</f>
        <v>53.5597524</v>
      </c>
      <c r="I284" s="197"/>
      <c r="J284" s="197"/>
      <c r="K284" s="197"/>
      <c r="L284" s="197"/>
      <c r="M284" s="197"/>
      <c r="N284" s="197"/>
      <c r="O284" s="83"/>
      <c r="P284"/>
    </row>
    <row r="285" spans="1:16" ht="51">
      <c r="A285" s="198"/>
      <c r="B285" s="199">
        <v>21141</v>
      </c>
      <c r="C285" s="205" t="s">
        <v>394</v>
      </c>
      <c r="D285" s="199" t="s">
        <v>26</v>
      </c>
      <c r="E285" s="193">
        <f>1.2*1.25*1.53</f>
        <v>2.295</v>
      </c>
      <c r="F285" s="195">
        <f>E285*F277</f>
        <v>0.009638999999999998</v>
      </c>
      <c r="G285" s="46">
        <v>491.01</v>
      </c>
      <c r="H285" s="68">
        <f>PRODUCT(F285,G285)</f>
        <v>4.732845389999999</v>
      </c>
      <c r="I285" s="197"/>
      <c r="J285" s="197"/>
      <c r="K285" s="197"/>
      <c r="L285" s="197"/>
      <c r="M285" s="197"/>
      <c r="N285" s="197"/>
      <c r="O285" s="83"/>
      <c r="P285"/>
    </row>
    <row r="286" spans="1:16" ht="12.75">
      <c r="A286" s="198"/>
      <c r="B286" s="199">
        <v>30101</v>
      </c>
      <c r="C286" s="205" t="s">
        <v>138</v>
      </c>
      <c r="D286" s="199" t="s">
        <v>26</v>
      </c>
      <c r="E286" s="193">
        <f>1.2*1.25*0.27</f>
        <v>0.405</v>
      </c>
      <c r="F286" s="195">
        <f>E286*F277</f>
        <v>0.001701</v>
      </c>
      <c r="G286" s="203">
        <v>427.89</v>
      </c>
      <c r="H286" s="68">
        <f>PRODUCT(F286,G286)</f>
        <v>0.72784089</v>
      </c>
      <c r="I286" s="197"/>
      <c r="J286" s="197"/>
      <c r="K286" s="197"/>
      <c r="L286" s="197"/>
      <c r="M286" s="197"/>
      <c r="N286" s="197"/>
      <c r="O286" s="83"/>
      <c r="P286"/>
    </row>
    <row r="287" spans="1:16" ht="12.75">
      <c r="A287" s="198"/>
      <c r="B287" s="199">
        <v>111100</v>
      </c>
      <c r="C287" s="205" t="s">
        <v>395</v>
      </c>
      <c r="D287" s="199" t="s">
        <v>26</v>
      </c>
      <c r="E287" s="193">
        <f>1.2*1.25*18.21</f>
        <v>27.315</v>
      </c>
      <c r="F287" s="195">
        <f>E287*F277</f>
        <v>0.11472299999999999</v>
      </c>
      <c r="G287" s="195">
        <v>12.48</v>
      </c>
      <c r="H287" s="68">
        <f>PRODUCT(F287,G287)</f>
        <v>1.43174304</v>
      </c>
      <c r="I287" s="197"/>
      <c r="J287" s="207"/>
      <c r="K287" s="197"/>
      <c r="L287" s="197"/>
      <c r="M287" s="197"/>
      <c r="N287" s="197"/>
      <c r="O287" s="83"/>
      <c r="P287"/>
    </row>
    <row r="288" spans="1:16" ht="25.5">
      <c r="A288" s="198"/>
      <c r="B288" s="199">
        <v>400001</v>
      </c>
      <c r="C288" s="205" t="s">
        <v>157</v>
      </c>
      <c r="D288" s="199" t="s">
        <v>26</v>
      </c>
      <c r="E288" s="193">
        <f>1.2*1.25*2.27</f>
        <v>3.4050000000000002</v>
      </c>
      <c r="F288" s="195">
        <f>E288*F277</f>
        <v>0.014301</v>
      </c>
      <c r="G288" s="57">
        <v>444.37</v>
      </c>
      <c r="H288" s="68">
        <f>PRODUCT(F288,G288)</f>
        <v>6.35493537</v>
      </c>
      <c r="I288" s="197"/>
      <c r="J288" s="197"/>
      <c r="K288" s="197"/>
      <c r="L288" s="197"/>
      <c r="M288" s="197"/>
      <c r="N288" s="197"/>
      <c r="O288" s="83"/>
      <c r="P288"/>
    </row>
    <row r="289" spans="1:16" ht="12.75">
      <c r="A289" s="198"/>
      <c r="B289" s="199">
        <v>331532</v>
      </c>
      <c r="C289" s="205" t="s">
        <v>396</v>
      </c>
      <c r="D289" s="199" t="s">
        <v>26</v>
      </c>
      <c r="E289" s="193">
        <f>1.2*1.25*0.8</f>
        <v>1.2000000000000002</v>
      </c>
      <c r="F289" s="195">
        <f>E289*F277</f>
        <v>0.00504</v>
      </c>
      <c r="G289" s="195">
        <v>20.65</v>
      </c>
      <c r="H289" s="68">
        <f>PRODUCT(F289,G289)</f>
        <v>0.104076</v>
      </c>
      <c r="I289" s="197"/>
      <c r="J289" s="197"/>
      <c r="K289" s="197"/>
      <c r="L289" s="197"/>
      <c r="M289" s="197"/>
      <c r="N289" s="197"/>
      <c r="O289" s="83"/>
      <c r="P289"/>
    </row>
    <row r="290" spans="1:16" ht="12.75">
      <c r="A290" s="198"/>
      <c r="B290" s="199">
        <v>4</v>
      </c>
      <c r="C290" s="205" t="s">
        <v>27</v>
      </c>
      <c r="D290" s="199"/>
      <c r="E290" s="193"/>
      <c r="F290" s="195"/>
      <c r="G290" s="195"/>
      <c r="H290" s="206"/>
      <c r="I290" s="197"/>
      <c r="J290" s="400">
        <f>SUM(H291:H298)</f>
        <v>1782.2085539999998</v>
      </c>
      <c r="K290" s="197"/>
      <c r="L290" s="197"/>
      <c r="M290" s="197"/>
      <c r="N290" s="197"/>
      <c r="O290" s="83"/>
      <c r="P290"/>
    </row>
    <row r="291" spans="1:16" ht="51">
      <c r="A291" s="198"/>
      <c r="B291" s="199" t="s">
        <v>397</v>
      </c>
      <c r="C291" s="205" t="s">
        <v>398</v>
      </c>
      <c r="D291" s="199" t="s">
        <v>30</v>
      </c>
      <c r="E291" s="193">
        <v>0.07</v>
      </c>
      <c r="F291" s="195">
        <f>E291*F277</f>
        <v>0.000294</v>
      </c>
      <c r="G291" s="88">
        <v>7200</v>
      </c>
      <c r="H291" s="68">
        <f>PRODUCT(F291,G291)</f>
        <v>2.1168</v>
      </c>
      <c r="I291" s="197"/>
      <c r="J291" s="197"/>
      <c r="K291" s="197"/>
      <c r="L291" s="207"/>
      <c r="M291" s="197"/>
      <c r="N291" s="197"/>
      <c r="O291" s="83"/>
      <c r="P291"/>
    </row>
    <row r="292" spans="1:16" ht="51">
      <c r="A292" s="198"/>
      <c r="B292" s="208" t="s">
        <v>399</v>
      </c>
      <c r="C292" s="205" t="s">
        <v>400</v>
      </c>
      <c r="D292" s="199" t="s">
        <v>30</v>
      </c>
      <c r="E292" s="193">
        <v>0.86</v>
      </c>
      <c r="F292" s="195">
        <f>E292*F277</f>
        <v>0.0036119999999999998</v>
      </c>
      <c r="G292" s="203">
        <v>7200</v>
      </c>
      <c r="H292" s="68">
        <f>PRODUCT(F292,G292)</f>
        <v>26.0064</v>
      </c>
      <c r="I292" s="197"/>
      <c r="J292" s="197"/>
      <c r="K292" s="207"/>
      <c r="L292" s="197"/>
      <c r="M292" s="197"/>
      <c r="N292" s="197"/>
      <c r="O292" s="83"/>
      <c r="P292"/>
    </row>
    <row r="293" spans="1:16" ht="12.75">
      <c r="A293" s="198"/>
      <c r="B293" s="199" t="s">
        <v>401</v>
      </c>
      <c r="C293" s="205" t="s">
        <v>402</v>
      </c>
      <c r="D293" s="199" t="s">
        <v>30</v>
      </c>
      <c r="E293" s="193">
        <v>102</v>
      </c>
      <c r="F293" s="195">
        <f>E293*F277</f>
        <v>0.42839999999999995</v>
      </c>
      <c r="G293" s="66">
        <v>3985</v>
      </c>
      <c r="H293" s="68">
        <f>PRODUCT(F293,G293)</f>
        <v>1707.1739999999998</v>
      </c>
      <c r="I293" s="197"/>
      <c r="J293" s="197"/>
      <c r="K293" s="197"/>
      <c r="L293" s="197"/>
      <c r="M293" s="207"/>
      <c r="N293" s="197"/>
      <c r="O293" s="83"/>
      <c r="P293"/>
    </row>
    <row r="294" spans="1:16" ht="25.5">
      <c r="A294" s="198"/>
      <c r="B294" s="199" t="s">
        <v>403</v>
      </c>
      <c r="C294" s="205" t="s">
        <v>404</v>
      </c>
      <c r="D294" s="199" t="s">
        <v>35</v>
      </c>
      <c r="E294" s="193">
        <v>0.05</v>
      </c>
      <c r="F294" s="195">
        <f>E294*F277</f>
        <v>0.00021</v>
      </c>
      <c r="G294" s="195">
        <v>55000</v>
      </c>
      <c r="H294" s="68">
        <f>PRODUCT(F294,G294)</f>
        <v>11.55</v>
      </c>
      <c r="I294" s="207"/>
      <c r="J294" s="197"/>
      <c r="K294" s="197"/>
      <c r="L294" s="197"/>
      <c r="M294" s="197"/>
      <c r="N294" s="197"/>
      <c r="O294" s="83"/>
      <c r="P294"/>
    </row>
    <row r="295" spans="1:16" ht="12.75">
      <c r="A295" s="198"/>
      <c r="B295" s="199" t="s">
        <v>405</v>
      </c>
      <c r="C295" s="205" t="s">
        <v>406</v>
      </c>
      <c r="D295" s="199" t="s">
        <v>94</v>
      </c>
      <c r="E295" s="193">
        <v>40</v>
      </c>
      <c r="F295" s="195">
        <f>E295*F277</f>
        <v>0.16799999999999998</v>
      </c>
      <c r="G295" s="57">
        <v>168</v>
      </c>
      <c r="H295" s="68">
        <f>PRODUCT(F295,G295)</f>
        <v>28.223999999999997</v>
      </c>
      <c r="I295" s="197"/>
      <c r="J295" s="197"/>
      <c r="K295" s="197"/>
      <c r="L295" s="197"/>
      <c r="M295" s="197"/>
      <c r="N295" s="197"/>
      <c r="O295" s="83"/>
      <c r="P295"/>
    </row>
    <row r="296" spans="1:16" ht="12.75">
      <c r="A296" s="198"/>
      <c r="B296" s="199" t="s">
        <v>407</v>
      </c>
      <c r="C296" s="205" t="s">
        <v>408</v>
      </c>
      <c r="D296" s="199" t="s">
        <v>35</v>
      </c>
      <c r="E296" s="193">
        <v>0.043</v>
      </c>
      <c r="F296" s="195">
        <f>E296*F277</f>
        <v>0.00018059999999999997</v>
      </c>
      <c r="G296" s="46">
        <v>36890</v>
      </c>
      <c r="H296" s="68">
        <f>PRODUCT(F296,G296)</f>
        <v>6.662333999999999</v>
      </c>
      <c r="I296" s="197"/>
      <c r="J296" s="197"/>
      <c r="K296" s="197"/>
      <c r="L296" s="197"/>
      <c r="M296" s="197"/>
      <c r="N296" s="197"/>
      <c r="O296" s="83"/>
      <c r="P296"/>
    </row>
    <row r="297" spans="1:16" ht="25.5">
      <c r="A297" s="198"/>
      <c r="B297" s="199" t="s">
        <v>409</v>
      </c>
      <c r="C297" s="205" t="s">
        <v>410</v>
      </c>
      <c r="D297" s="199" t="s">
        <v>35</v>
      </c>
      <c r="E297" s="193">
        <v>0.026</v>
      </c>
      <c r="F297" s="195">
        <f>E297*F277</f>
        <v>0.00010919999999999998</v>
      </c>
      <c r="G297" s="203">
        <v>4350</v>
      </c>
      <c r="H297" s="68">
        <f>PRODUCT(F297,G297)</f>
        <v>0.47501999999999994</v>
      </c>
      <c r="I297" s="197"/>
      <c r="J297" s="197"/>
      <c r="K297" s="197"/>
      <c r="L297" s="197"/>
      <c r="M297" s="197"/>
      <c r="N297" s="197"/>
      <c r="O297" s="83"/>
      <c r="P297"/>
    </row>
    <row r="298" spans="1:16" ht="12.75">
      <c r="A298" s="198"/>
      <c r="B298" s="199" t="s">
        <v>146</v>
      </c>
      <c r="C298" s="205" t="s">
        <v>32</v>
      </c>
      <c r="D298" s="199" t="s">
        <v>30</v>
      </c>
      <c r="E298" s="193">
        <v>0.077</v>
      </c>
      <c r="F298" s="195">
        <f>E298*F277</f>
        <v>0.0003234</v>
      </c>
      <c r="G298" s="195">
        <v>0</v>
      </c>
      <c r="H298" s="68">
        <f>PRODUCT(F298,G298)</f>
        <v>0</v>
      </c>
      <c r="I298" s="197"/>
      <c r="J298" s="207"/>
      <c r="K298" s="197"/>
      <c r="L298" s="197"/>
      <c r="M298" s="197"/>
      <c r="N298" s="197"/>
      <c r="O298" s="83"/>
      <c r="P298"/>
    </row>
    <row r="299" spans="1:16" ht="25.5">
      <c r="A299" s="190">
        <v>7</v>
      </c>
      <c r="B299" s="191" t="s">
        <v>189</v>
      </c>
      <c r="C299" s="192" t="s">
        <v>190</v>
      </c>
      <c r="D299" s="191" t="s">
        <v>362</v>
      </c>
      <c r="E299" s="193"/>
      <c r="F299" s="194">
        <v>0.852</v>
      </c>
      <c r="G299" s="195"/>
      <c r="H299" s="196"/>
      <c r="I299" s="197"/>
      <c r="J299" s="197"/>
      <c r="K299" s="197"/>
      <c r="L299" s="197"/>
      <c r="M299" s="197"/>
      <c r="N299" s="197"/>
      <c r="O299" s="83"/>
      <c r="P299"/>
    </row>
    <row r="300" spans="1:16" ht="12.75">
      <c r="A300" s="198"/>
      <c r="B300" s="199" t="s">
        <v>109</v>
      </c>
      <c r="C300" s="193" t="s">
        <v>191</v>
      </c>
      <c r="D300" s="199"/>
      <c r="E300" s="200">
        <f>0.94*110.7%</f>
        <v>1.0405799999999998</v>
      </c>
      <c r="F300" s="195"/>
      <c r="G300" s="195"/>
      <c r="H300" s="196"/>
      <c r="I300" s="197"/>
      <c r="J300" s="197"/>
      <c r="K300" s="197"/>
      <c r="L300" s="197"/>
      <c r="M300" s="197"/>
      <c r="N300" s="197"/>
      <c r="O300" s="83"/>
      <c r="P300"/>
    </row>
    <row r="301" spans="1:16" ht="12.75">
      <c r="A301" s="198"/>
      <c r="B301" s="32" t="s">
        <v>39</v>
      </c>
      <c r="C301" s="201" t="s">
        <v>19</v>
      </c>
      <c r="D301" s="191"/>
      <c r="E301" s="200">
        <v>0.6375</v>
      </c>
      <c r="F301" s="202"/>
      <c r="G301" s="203"/>
      <c r="H301" s="204"/>
      <c r="I301" s="83"/>
      <c r="J301" s="83"/>
      <c r="K301" s="83"/>
      <c r="L301" s="84"/>
      <c r="M301" s="83"/>
      <c r="N301" s="83"/>
      <c r="O301" s="84">
        <f>SUM(H302:H304)*E301</f>
        <v>7378.5892256100005</v>
      </c>
      <c r="P301"/>
    </row>
    <row r="302" spans="1:16" ht="12.75">
      <c r="A302" s="198"/>
      <c r="B302" s="199">
        <v>1</v>
      </c>
      <c r="C302" s="205" t="s">
        <v>20</v>
      </c>
      <c r="D302" s="199" t="s">
        <v>21</v>
      </c>
      <c r="E302" s="193">
        <f>1.2*1.25*119.78</f>
        <v>179.67000000000002</v>
      </c>
      <c r="F302" s="195">
        <f>PRODUCT(F299,E302)</f>
        <v>153.07884</v>
      </c>
      <c r="G302" s="88">
        <v>73.62</v>
      </c>
      <c r="H302" s="206">
        <f>PRODUCT(F302,G302)</f>
        <v>11269.664200800002</v>
      </c>
      <c r="I302" s="197"/>
      <c r="J302" s="197"/>
      <c r="K302" s="197"/>
      <c r="L302" s="207">
        <f>SUM(H302)</f>
        <v>11269.664200800002</v>
      </c>
      <c r="M302" s="197"/>
      <c r="N302" s="197"/>
      <c r="O302" s="83"/>
      <c r="P302"/>
    </row>
    <row r="303" spans="1:16" ht="12.75">
      <c r="A303" s="198"/>
      <c r="B303" s="208"/>
      <c r="C303" s="205" t="s">
        <v>22</v>
      </c>
      <c r="D303" s="199"/>
      <c r="E303" s="193">
        <v>3.2</v>
      </c>
      <c r="F303" s="195"/>
      <c r="G303" s="203"/>
      <c r="H303" s="206"/>
      <c r="I303" s="197"/>
      <c r="J303" s="197"/>
      <c r="K303" s="207">
        <f>SUM(H302:H304)*E300</f>
        <v>12043.940982565104</v>
      </c>
      <c r="L303" s="197"/>
      <c r="M303" s="197"/>
      <c r="N303" s="197"/>
      <c r="O303" s="83"/>
      <c r="P303"/>
    </row>
    <row r="304" spans="1:16" ht="12.75">
      <c r="A304" s="198"/>
      <c r="B304" s="199">
        <v>2</v>
      </c>
      <c r="C304" s="205" t="s">
        <v>23</v>
      </c>
      <c r="D304" s="199" t="s">
        <v>21</v>
      </c>
      <c r="E304" s="193">
        <f>1.2*1.25*2.94-E306</f>
        <v>3.99</v>
      </c>
      <c r="F304" s="195">
        <f>PRODUCT(F299,E304)</f>
        <v>3.39948</v>
      </c>
      <c r="G304" s="66">
        <v>89.6</v>
      </c>
      <c r="H304" s="206">
        <f>PRODUCT(F304,G304)</f>
        <v>304.593408</v>
      </c>
      <c r="I304" s="197"/>
      <c r="J304" s="197"/>
      <c r="K304" s="197"/>
      <c r="L304" s="197"/>
      <c r="M304" s="207">
        <f>SUM(H304)</f>
        <v>304.593408</v>
      </c>
      <c r="N304" s="197"/>
      <c r="O304" s="83"/>
      <c r="P304"/>
    </row>
    <row r="305" spans="1:16" ht="12.75">
      <c r="A305" s="198"/>
      <c r="B305" s="199">
        <v>3</v>
      </c>
      <c r="C305" s="205" t="s">
        <v>24</v>
      </c>
      <c r="D305" s="199"/>
      <c r="E305" s="193"/>
      <c r="F305" s="195"/>
      <c r="G305" s="195"/>
      <c r="H305" s="206"/>
      <c r="I305" s="207">
        <f>SUM(H306:H308)</f>
        <v>1067.446944</v>
      </c>
      <c r="J305" s="197"/>
      <c r="K305" s="197"/>
      <c r="L305" s="197"/>
      <c r="M305" s="197"/>
      <c r="N305" s="197"/>
      <c r="O305" s="83"/>
      <c r="P305"/>
    </row>
    <row r="306" spans="1:16" ht="12.75">
      <c r="A306" s="198"/>
      <c r="B306" s="199">
        <v>400001</v>
      </c>
      <c r="C306" s="205" t="s">
        <v>192</v>
      </c>
      <c r="D306" s="199" t="s">
        <v>26</v>
      </c>
      <c r="E306" s="193">
        <f>1.2*1.25*0.28</f>
        <v>0.42000000000000004</v>
      </c>
      <c r="F306" s="195">
        <f>PRODUCT(F299,E306)</f>
        <v>0.35784000000000005</v>
      </c>
      <c r="G306" s="57">
        <v>444.37</v>
      </c>
      <c r="H306" s="206">
        <f>PRODUCT(F306,G306)</f>
        <v>159.01336080000002</v>
      </c>
      <c r="I306" s="197"/>
      <c r="J306" s="197"/>
      <c r="K306" s="197"/>
      <c r="L306" s="197"/>
      <c r="M306" s="197"/>
      <c r="N306" s="197"/>
      <c r="O306" s="83"/>
      <c r="P306"/>
    </row>
    <row r="307" spans="1:16" ht="12.75">
      <c r="A307" s="198"/>
      <c r="B307" s="199">
        <v>30101</v>
      </c>
      <c r="C307" s="205" t="s">
        <v>138</v>
      </c>
      <c r="D307" s="199" t="s">
        <v>26</v>
      </c>
      <c r="E307" s="193">
        <f>1.2*1.25*0.36</f>
        <v>0.54</v>
      </c>
      <c r="F307" s="195">
        <f>PRODUCT(F299,E307)</f>
        <v>0.46008000000000004</v>
      </c>
      <c r="G307" s="46">
        <v>427.89</v>
      </c>
      <c r="H307" s="206">
        <f>PRODUCT(F307,G307)</f>
        <v>196.86363120000001</v>
      </c>
      <c r="I307" s="197"/>
      <c r="J307" s="197"/>
      <c r="K307" s="197"/>
      <c r="L307" s="197"/>
      <c r="M307" s="197"/>
      <c r="N307" s="197"/>
      <c r="O307" s="83"/>
      <c r="P307"/>
    </row>
    <row r="308" spans="1:16" ht="12.75">
      <c r="A308" s="198"/>
      <c r="B308" s="199">
        <v>31121</v>
      </c>
      <c r="C308" s="205" t="s">
        <v>25</v>
      </c>
      <c r="D308" s="199" t="s">
        <v>26</v>
      </c>
      <c r="E308" s="193">
        <f>1.2*1.25*2.3</f>
        <v>3.4499999999999997</v>
      </c>
      <c r="F308" s="195">
        <f>PRODUCT(F299,E308)</f>
        <v>2.9393999999999996</v>
      </c>
      <c r="G308" s="203">
        <v>242.08</v>
      </c>
      <c r="H308" s="206">
        <f>PRODUCT(F308,G308)</f>
        <v>711.569952</v>
      </c>
      <c r="I308" s="197"/>
      <c r="J308" s="197"/>
      <c r="K308" s="197"/>
      <c r="L308" s="197"/>
      <c r="M308" s="197"/>
      <c r="N308" s="197"/>
      <c r="O308" s="83"/>
      <c r="P308"/>
    </row>
    <row r="309" spans="1:16" ht="12.75">
      <c r="A309" s="198"/>
      <c r="B309" s="199">
        <v>4</v>
      </c>
      <c r="C309" s="205" t="s">
        <v>27</v>
      </c>
      <c r="D309" s="199"/>
      <c r="E309" s="193"/>
      <c r="F309" s="195"/>
      <c r="G309" s="195"/>
      <c r="H309" s="206"/>
      <c r="I309" s="197"/>
      <c r="J309" s="207">
        <f>SUM(H310:H313)</f>
        <v>82860.55795199999</v>
      </c>
      <c r="K309" s="197"/>
      <c r="L309" s="197"/>
      <c r="M309" s="197"/>
      <c r="N309" s="197"/>
      <c r="O309" s="83"/>
      <c r="P309"/>
    </row>
    <row r="310" spans="1:16" ht="14.25">
      <c r="A310" s="198"/>
      <c r="B310" s="199" t="s">
        <v>193</v>
      </c>
      <c r="C310" s="205" t="s">
        <v>194</v>
      </c>
      <c r="D310" s="199" t="s">
        <v>363</v>
      </c>
      <c r="E310" s="193">
        <v>102</v>
      </c>
      <c r="F310" s="195">
        <f>PRODUCT(F299,E310)</f>
        <v>86.904</v>
      </c>
      <c r="G310" s="195">
        <v>650</v>
      </c>
      <c r="H310" s="206">
        <f>PRODUCT(F310,G310)</f>
        <v>56487.6</v>
      </c>
      <c r="I310" s="197"/>
      <c r="J310" s="197"/>
      <c r="K310" s="197"/>
      <c r="L310" s="197"/>
      <c r="M310" s="197"/>
      <c r="N310" s="197"/>
      <c r="O310" s="83"/>
      <c r="P310"/>
    </row>
    <row r="311" spans="1:16" ht="14.25">
      <c r="A311" s="198"/>
      <c r="B311" s="199"/>
      <c r="C311" s="205" t="s">
        <v>195</v>
      </c>
      <c r="D311" s="199" t="s">
        <v>364</v>
      </c>
      <c r="E311" s="193">
        <v>1.3</v>
      </c>
      <c r="F311" s="195">
        <f>PRODUCT(F299,E311)</f>
        <v>1.1076</v>
      </c>
      <c r="G311" s="195">
        <v>23600</v>
      </c>
      <c r="H311" s="206">
        <f>PRODUCT(F311,G311)</f>
        <v>26139.359999999997</v>
      </c>
      <c r="I311" s="197"/>
      <c r="J311" s="197"/>
      <c r="K311" s="197"/>
      <c r="L311" s="197"/>
      <c r="M311" s="197"/>
      <c r="N311" s="197"/>
      <c r="O311" s="83"/>
      <c r="P311"/>
    </row>
    <row r="312" spans="1:16" ht="14.25">
      <c r="A312" s="198"/>
      <c r="B312" s="199" t="s">
        <v>196</v>
      </c>
      <c r="C312" s="205" t="s">
        <v>197</v>
      </c>
      <c r="D312" s="199" t="s">
        <v>364</v>
      </c>
      <c r="E312" s="193">
        <v>3.06</v>
      </c>
      <c r="F312" s="195">
        <f>PRODUCT(F299,E312)</f>
        <v>2.60712</v>
      </c>
      <c r="G312" s="195">
        <v>89.6</v>
      </c>
      <c r="H312" s="206">
        <f>PRODUCT(F312,G312)</f>
        <v>233.597952</v>
      </c>
      <c r="I312" s="197"/>
      <c r="J312" s="197"/>
      <c r="K312" s="197"/>
      <c r="L312" s="197"/>
      <c r="M312" s="197"/>
      <c r="N312" s="197"/>
      <c r="O312" s="83"/>
      <c r="P312"/>
    </row>
    <row r="313" spans="1:16" ht="14.25">
      <c r="A313" s="198"/>
      <c r="B313" s="199" t="s">
        <v>146</v>
      </c>
      <c r="C313" s="205" t="s">
        <v>32</v>
      </c>
      <c r="D313" s="199" t="s">
        <v>364</v>
      </c>
      <c r="E313" s="193">
        <v>3.85</v>
      </c>
      <c r="F313" s="195">
        <f>PRODUCT(F299,E313)</f>
        <v>3.2802</v>
      </c>
      <c r="G313" s="195">
        <v>0</v>
      </c>
      <c r="H313" s="206">
        <f>PRODUCT(F313,G313)</f>
        <v>0</v>
      </c>
      <c r="I313" s="197"/>
      <c r="J313" s="197"/>
      <c r="K313" s="197"/>
      <c r="L313" s="197"/>
      <c r="M313" s="197"/>
      <c r="N313" s="197"/>
      <c r="O313" s="83"/>
      <c r="P313"/>
    </row>
    <row r="314" spans="1:23" s="27" customFormat="1" ht="12.75">
      <c r="A314" s="319"/>
      <c r="B314" s="320"/>
      <c r="C314" s="308" t="s">
        <v>198</v>
      </c>
      <c r="D314" s="307"/>
      <c r="E314" s="315"/>
      <c r="F314" s="310"/>
      <c r="G314" s="310"/>
      <c r="H314" s="318"/>
      <c r="I314" s="1"/>
      <c r="J314" s="1"/>
      <c r="K314" s="1"/>
      <c r="L314" s="37"/>
      <c r="M314" s="1"/>
      <c r="N314" s="1"/>
      <c r="O314"/>
      <c r="P314"/>
      <c r="Q314" s="7"/>
      <c r="R314"/>
      <c r="S314"/>
      <c r="T314"/>
      <c r="U314"/>
      <c r="V314"/>
      <c r="W314"/>
    </row>
    <row r="315" spans="1:23" s="62" customFormat="1" ht="38.25">
      <c r="A315" s="212">
        <v>1</v>
      </c>
      <c r="B315" s="114" t="s">
        <v>205</v>
      </c>
      <c r="C315" s="213" t="s">
        <v>206</v>
      </c>
      <c r="D315" s="38" t="s">
        <v>359</v>
      </c>
      <c r="E315" s="214"/>
      <c r="F315" s="115">
        <v>0.176</v>
      </c>
      <c r="G315" s="215"/>
      <c r="H315" s="216"/>
      <c r="I315" s="13"/>
      <c r="J315" s="13"/>
      <c r="K315" s="13"/>
      <c r="L315" s="13"/>
      <c r="M315" s="13"/>
      <c r="N315" s="13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62" customFormat="1" ht="12.75">
      <c r="A316" s="44"/>
      <c r="B316" s="38"/>
      <c r="C316" s="31" t="s">
        <v>18</v>
      </c>
      <c r="D316" s="32"/>
      <c r="E316" s="33">
        <f>0.94*110%</f>
        <v>1.034</v>
      </c>
      <c r="F316" s="56"/>
      <c r="G316" s="46"/>
      <c r="H316" s="217"/>
      <c r="I316" s="97"/>
      <c r="J316" s="7"/>
      <c r="K316" s="7"/>
      <c r="L316" s="7"/>
      <c r="M316" s="7"/>
      <c r="N316" s="170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62" customFormat="1" ht="12.75">
      <c r="A317" s="44"/>
      <c r="B317" s="32"/>
      <c r="C317" s="31" t="s">
        <v>19</v>
      </c>
      <c r="D317" s="38"/>
      <c r="E317" s="168">
        <v>0.7</v>
      </c>
      <c r="F317" s="176"/>
      <c r="G317" s="176"/>
      <c r="H317" s="169"/>
      <c r="I317" s="126"/>
      <c r="J317" s="126"/>
      <c r="K317" s="1"/>
      <c r="L317" s="1"/>
      <c r="M317" s="1"/>
      <c r="N317" s="130"/>
      <c r="O317" s="37">
        <f>SUM(H318:H320)*E317</f>
        <v>1666.34608448</v>
      </c>
      <c r="P317" s="7"/>
      <c r="Q317" s="7"/>
      <c r="R317" s="7"/>
      <c r="S317" s="7"/>
      <c r="T317" s="7"/>
      <c r="U317" s="7"/>
      <c r="V317" s="7"/>
      <c r="W317" s="7"/>
    </row>
    <row r="318" spans="1:23" s="62" customFormat="1" ht="12.75">
      <c r="A318" s="44"/>
      <c r="B318" s="101">
        <v>1</v>
      </c>
      <c r="C318" s="102" t="s">
        <v>20</v>
      </c>
      <c r="D318" s="101" t="s">
        <v>21</v>
      </c>
      <c r="E318" s="103">
        <v>188.54</v>
      </c>
      <c r="F318" s="57">
        <f>PRODUCT(F315,E318)</f>
        <v>33.18304</v>
      </c>
      <c r="G318" s="57">
        <v>68.06</v>
      </c>
      <c r="H318" s="178">
        <f>PRODUCT(F318,G318)</f>
        <v>2258.4377024</v>
      </c>
      <c r="I318" s="1"/>
      <c r="J318" s="1"/>
      <c r="K318" s="1"/>
      <c r="L318" s="37">
        <f>SUM(H318)</f>
        <v>2258.4377024</v>
      </c>
      <c r="M318" s="1"/>
      <c r="N318" s="1"/>
      <c r="O318"/>
      <c r="P318" s="7"/>
      <c r="Q318" s="7"/>
      <c r="R318" s="7"/>
      <c r="S318" s="7"/>
      <c r="T318" s="7"/>
      <c r="U318" s="7"/>
      <c r="V318" s="7"/>
      <c r="W318" s="7"/>
    </row>
    <row r="319" spans="1:15" ht="12.75">
      <c r="A319" s="44"/>
      <c r="B319" s="123"/>
      <c r="C319" s="102" t="s">
        <v>22</v>
      </c>
      <c r="D319" s="101"/>
      <c r="E319" s="103">
        <v>2.4</v>
      </c>
      <c r="F319" s="57"/>
      <c r="G319" s="57"/>
      <c r="H319" s="178"/>
      <c r="I319" s="1"/>
      <c r="J319" s="1"/>
      <c r="K319" s="37">
        <f>SUM(H318:H320)*E316</f>
        <v>2461.4312162176</v>
      </c>
      <c r="L319" s="1"/>
      <c r="M319" s="1"/>
      <c r="N319" s="1"/>
      <c r="O319"/>
    </row>
    <row r="320" spans="1:23" s="13" customFormat="1" ht="12.75">
      <c r="A320" s="44"/>
      <c r="B320" s="101">
        <v>2</v>
      </c>
      <c r="C320" s="102" t="s">
        <v>23</v>
      </c>
      <c r="D320" s="101" t="s">
        <v>21</v>
      </c>
      <c r="E320" s="103">
        <v>7.74</v>
      </c>
      <c r="F320" s="57">
        <f>PRODUCT(F315,E320)</f>
        <v>1.36224</v>
      </c>
      <c r="G320" s="34">
        <v>89.6</v>
      </c>
      <c r="H320" s="178">
        <f>PRODUCT(F320,G320)</f>
        <v>122.05670399999998</v>
      </c>
      <c r="I320" s="1"/>
      <c r="J320" s="1"/>
      <c r="K320" s="1"/>
      <c r="L320" s="1"/>
      <c r="M320" s="37">
        <f>SUM(H320)</f>
        <v>122.05670399999998</v>
      </c>
      <c r="N320" s="1"/>
      <c r="O320"/>
      <c r="P320" s="7"/>
      <c r="Q320" s="7"/>
      <c r="R320" s="7"/>
      <c r="S320" s="7"/>
      <c r="T320" s="7"/>
      <c r="U320" s="7"/>
      <c r="V320" s="7"/>
      <c r="W320" s="7"/>
    </row>
    <row r="321" spans="1:23" s="13" customFormat="1" ht="12.75">
      <c r="A321" s="44"/>
      <c r="B321" s="101">
        <v>3</v>
      </c>
      <c r="C321" s="102" t="s">
        <v>24</v>
      </c>
      <c r="D321" s="101"/>
      <c r="E321" s="103"/>
      <c r="F321" s="56"/>
      <c r="G321" s="56"/>
      <c r="H321" s="179"/>
      <c r="I321" s="125">
        <f>SUM(H322)</f>
        <v>329.77105919999997</v>
      </c>
      <c r="J321" s="126"/>
      <c r="K321"/>
      <c r="L321"/>
      <c r="M321"/>
      <c r="N321"/>
      <c r="O321" s="127"/>
      <c r="P321" s="7"/>
      <c r="Q321" s="7"/>
      <c r="R321" s="7"/>
      <c r="S321" s="7"/>
      <c r="T321" s="7"/>
      <c r="U321" s="7"/>
      <c r="V321" s="7"/>
      <c r="W321" s="7"/>
    </row>
    <row r="322" spans="1:15" ht="12.75">
      <c r="A322" s="44"/>
      <c r="B322" s="101">
        <v>31121</v>
      </c>
      <c r="C322" s="102" t="s">
        <v>82</v>
      </c>
      <c r="D322" s="101" t="s">
        <v>26</v>
      </c>
      <c r="E322" s="103">
        <v>7.74</v>
      </c>
      <c r="F322" s="57">
        <f>PRODUCT(F315,E322)</f>
        <v>1.36224</v>
      </c>
      <c r="G322" s="67">
        <v>242.08</v>
      </c>
      <c r="H322" s="178">
        <f>PRODUCT(F322,G322)</f>
        <v>329.77105919999997</v>
      </c>
      <c r="I322" s="126"/>
      <c r="J322" s="126"/>
      <c r="K322"/>
      <c r="L322"/>
      <c r="M322"/>
      <c r="N322"/>
      <c r="O322" s="127"/>
    </row>
    <row r="323" spans="1:23" s="27" customFormat="1" ht="38.25">
      <c r="A323" s="92">
        <v>2</v>
      </c>
      <c r="B323" s="53" t="s">
        <v>207</v>
      </c>
      <c r="C323" s="107" t="s">
        <v>208</v>
      </c>
      <c r="D323" s="53" t="s">
        <v>359</v>
      </c>
      <c r="E323" s="55"/>
      <c r="F323" s="56">
        <v>0.176</v>
      </c>
      <c r="G323" s="57"/>
      <c r="H323" s="218"/>
      <c r="I323" s="165"/>
      <c r="J323" s="165"/>
      <c r="K323" s="165"/>
      <c r="L323" s="165"/>
      <c r="M323" s="165"/>
      <c r="N323" s="161"/>
      <c r="O323" s="165"/>
      <c r="P323" s="165"/>
      <c r="Q323" s="7"/>
      <c r="R323"/>
      <c r="S323"/>
      <c r="T323"/>
      <c r="U323"/>
      <c r="V323"/>
      <c r="W323"/>
    </row>
    <row r="324" spans="1:23" s="27" customFormat="1" ht="12.75">
      <c r="A324" s="92"/>
      <c r="B324" s="32" t="s">
        <v>109</v>
      </c>
      <c r="C324" s="108" t="s">
        <v>18</v>
      </c>
      <c r="D324" s="94"/>
      <c r="E324" s="93">
        <f>0.94*106.2%</f>
        <v>0.99828</v>
      </c>
      <c r="F324" s="57"/>
      <c r="G324" s="57"/>
      <c r="H324" s="40"/>
      <c r="I324" s="219"/>
      <c r="J324" s="165"/>
      <c r="K324" s="165"/>
      <c r="L324" s="165"/>
      <c r="M324" s="165"/>
      <c r="N324" s="157"/>
      <c r="O324" s="165"/>
      <c r="P324" s="165"/>
      <c r="Q324" s="7"/>
      <c r="R324"/>
      <c r="S324"/>
      <c r="T324"/>
      <c r="U324"/>
      <c r="V324"/>
      <c r="W324"/>
    </row>
    <row r="325" spans="1:23" s="27" customFormat="1" ht="12.75">
      <c r="A325" s="92"/>
      <c r="B325" s="32" t="s">
        <v>39</v>
      </c>
      <c r="C325" s="108" t="s">
        <v>19</v>
      </c>
      <c r="D325" s="53"/>
      <c r="E325" s="93">
        <v>0.5355</v>
      </c>
      <c r="F325" s="159"/>
      <c r="G325" s="57"/>
      <c r="H325" s="40"/>
      <c r="I325" s="220"/>
      <c r="J325" s="220"/>
      <c r="K325" s="164"/>
      <c r="L325" s="164"/>
      <c r="M325" s="164"/>
      <c r="N325" s="221"/>
      <c r="O325" s="161">
        <f>SUM(H326:H328)*E325</f>
        <v>1818.1192034174398</v>
      </c>
      <c r="P325" s="120"/>
      <c r="Q325" s="7"/>
      <c r="R325"/>
      <c r="S325"/>
      <c r="T325"/>
      <c r="U325"/>
      <c r="V325"/>
      <c r="W325"/>
    </row>
    <row r="326" spans="1:23" s="27" customFormat="1" ht="12.75">
      <c r="A326" s="92"/>
      <c r="B326" s="101">
        <v>1</v>
      </c>
      <c r="C326" s="172" t="s">
        <v>20</v>
      </c>
      <c r="D326" s="101" t="s">
        <v>21</v>
      </c>
      <c r="E326" s="103">
        <f>1.2*1.15*187.55</f>
        <v>258.819</v>
      </c>
      <c r="F326" s="57">
        <f>E326*F323</f>
        <v>45.552144</v>
      </c>
      <c r="G326" s="57">
        <v>73.62</v>
      </c>
      <c r="H326" s="162">
        <f>PRODUCT(F326,G326)</f>
        <v>3353.54884128</v>
      </c>
      <c r="I326" s="220"/>
      <c r="J326" s="220"/>
      <c r="K326" s="164"/>
      <c r="L326" s="161">
        <f>SUM(H326)</f>
        <v>3353.54884128</v>
      </c>
      <c r="M326" s="164"/>
      <c r="N326" s="161"/>
      <c r="O326" s="165"/>
      <c r="P326" s="120"/>
      <c r="Q326" s="7"/>
      <c r="R326"/>
      <c r="S326"/>
      <c r="T326"/>
      <c r="U326"/>
      <c r="V326"/>
      <c r="W326"/>
    </row>
    <row r="327" spans="1:23" s="27" customFormat="1" ht="12.75">
      <c r="A327" s="92"/>
      <c r="B327" s="123"/>
      <c r="C327" s="172" t="s">
        <v>22</v>
      </c>
      <c r="D327" s="222"/>
      <c r="E327" s="103">
        <v>3.2</v>
      </c>
      <c r="F327" s="57"/>
      <c r="G327" s="57"/>
      <c r="H327" s="76"/>
      <c r="I327" s="165"/>
      <c r="J327" s="165"/>
      <c r="K327" s="161">
        <f>SUM(H326:H328)*E324</f>
        <v>3389.340874673318</v>
      </c>
      <c r="L327" s="164"/>
      <c r="M327" s="164"/>
      <c r="N327" s="161"/>
      <c r="O327" s="165"/>
      <c r="P327" s="120"/>
      <c r="Q327" s="7"/>
      <c r="R327"/>
      <c r="S327"/>
      <c r="T327"/>
      <c r="U327"/>
      <c r="V327"/>
      <c r="W327"/>
    </row>
    <row r="328" spans="1:23" s="27" customFormat="1" ht="12.75">
      <c r="A328" s="92"/>
      <c r="B328" s="101">
        <v>2</v>
      </c>
      <c r="C328" s="172" t="s">
        <v>23</v>
      </c>
      <c r="D328" s="101" t="s">
        <v>21</v>
      </c>
      <c r="E328" s="103">
        <f>1.2*1.25*5.33-E333</f>
        <v>2.6400000000000006</v>
      </c>
      <c r="F328" s="57">
        <f>E328*F323</f>
        <v>0.46464000000000005</v>
      </c>
      <c r="G328" s="66">
        <v>89.6</v>
      </c>
      <c r="H328" s="162">
        <f>PRODUCT(F328,G328)</f>
        <v>41.631744000000005</v>
      </c>
      <c r="I328" s="165"/>
      <c r="J328" s="165"/>
      <c r="K328" s="164"/>
      <c r="L328" s="164"/>
      <c r="M328" s="161">
        <f>SUM(H328)</f>
        <v>41.631744000000005</v>
      </c>
      <c r="N328" s="161"/>
      <c r="O328" s="165"/>
      <c r="P328" s="120"/>
      <c r="Q328" s="7"/>
      <c r="R328"/>
      <c r="S328"/>
      <c r="T328"/>
      <c r="U328"/>
      <c r="V328"/>
      <c r="W328"/>
    </row>
    <row r="329" spans="1:23" s="27" customFormat="1" ht="12.75" customHeight="1">
      <c r="A329" s="92"/>
      <c r="B329" s="101">
        <v>3</v>
      </c>
      <c r="C329" s="172" t="s">
        <v>24</v>
      </c>
      <c r="D329" s="222"/>
      <c r="E329" s="223"/>
      <c r="F329" s="56"/>
      <c r="G329" s="56"/>
      <c r="H329" s="218"/>
      <c r="I329" s="224">
        <f>SUM(H330:H333)</f>
        <v>674.4301343999999</v>
      </c>
      <c r="J329" s="164"/>
      <c r="K329" s="164"/>
      <c r="L329" s="164"/>
      <c r="M329" s="161"/>
      <c r="N329" s="161"/>
      <c r="O329" s="165"/>
      <c r="P329" s="120"/>
      <c r="Q329" s="7"/>
      <c r="R329"/>
      <c r="S329"/>
      <c r="T329"/>
      <c r="U329"/>
      <c r="V329"/>
      <c r="W329"/>
    </row>
    <row r="330" spans="1:23" s="27" customFormat="1" ht="12.75" customHeight="1">
      <c r="A330" s="92"/>
      <c r="B330" s="101"/>
      <c r="C330" s="108" t="s">
        <v>25</v>
      </c>
      <c r="D330" s="101" t="s">
        <v>26</v>
      </c>
      <c r="E330" s="103">
        <f>1.2*1.25*1.76</f>
        <v>2.64</v>
      </c>
      <c r="F330" s="57">
        <f>E330*F323</f>
        <v>0.46464</v>
      </c>
      <c r="G330" s="57">
        <v>242.08</v>
      </c>
      <c r="H330" s="162">
        <f>PRODUCT(F330,G330)</f>
        <v>112.4800512</v>
      </c>
      <c r="I330" s="220"/>
      <c r="J330" s="165"/>
      <c r="K330" s="165"/>
      <c r="L330" s="165"/>
      <c r="M330" s="165"/>
      <c r="N330" s="161"/>
      <c r="O330" s="165"/>
      <c r="P330" s="120"/>
      <c r="Q330" s="7"/>
      <c r="R330"/>
      <c r="S330"/>
      <c r="T330"/>
      <c r="U330"/>
      <c r="V330"/>
      <c r="W330"/>
    </row>
    <row r="331" spans="1:23" s="27" customFormat="1" ht="12.75" customHeight="1">
      <c r="A331" s="92"/>
      <c r="B331" s="101"/>
      <c r="C331" s="172" t="s">
        <v>40</v>
      </c>
      <c r="D331" s="101" t="s">
        <v>26</v>
      </c>
      <c r="E331" s="103">
        <f>1.2*1.25*19.62</f>
        <v>29.43</v>
      </c>
      <c r="F331" s="57">
        <f>E331*F323</f>
        <v>5.179679999999999</v>
      </c>
      <c r="G331" s="57">
        <v>11.01</v>
      </c>
      <c r="H331" s="162">
        <f>PRODUCT(F331,G331)</f>
        <v>57.02827679999999</v>
      </c>
      <c r="I331" s="220"/>
      <c r="J331" s="165"/>
      <c r="K331" s="165"/>
      <c r="L331" s="165"/>
      <c r="M331" s="165"/>
      <c r="N331" s="161"/>
      <c r="O331" s="165"/>
      <c r="P331" s="120"/>
      <c r="Q331" s="7"/>
      <c r="R331"/>
      <c r="S331"/>
      <c r="T331"/>
      <c r="U331"/>
      <c r="V331"/>
      <c r="W331"/>
    </row>
    <row r="332" spans="1:23" s="27" customFormat="1" ht="12.75">
      <c r="A332" s="92"/>
      <c r="B332" s="101"/>
      <c r="C332" s="172" t="s">
        <v>42</v>
      </c>
      <c r="D332" s="101" t="s">
        <v>26</v>
      </c>
      <c r="E332" s="103">
        <f>1.2*1.25*30.23</f>
        <v>45.345</v>
      </c>
      <c r="F332" s="57">
        <f>E332*F323</f>
        <v>7.980719999999999</v>
      </c>
      <c r="G332" s="57">
        <v>10.79</v>
      </c>
      <c r="H332" s="162">
        <f>PRODUCT(F332,G332)</f>
        <v>86.11196879999999</v>
      </c>
      <c r="I332" s="165"/>
      <c r="J332" s="165"/>
      <c r="K332" s="165"/>
      <c r="L332" s="165"/>
      <c r="M332" s="165"/>
      <c r="N332" s="161"/>
      <c r="O332" s="165"/>
      <c r="P332" s="120"/>
      <c r="Q332" s="7"/>
      <c r="R332"/>
      <c r="S332"/>
      <c r="T332"/>
      <c r="U332"/>
      <c r="V332"/>
      <c r="W332"/>
    </row>
    <row r="333" spans="1:23" s="27" customFormat="1" ht="12.75" customHeight="1">
      <c r="A333" s="92"/>
      <c r="B333" s="101"/>
      <c r="C333" s="104" t="s">
        <v>97</v>
      </c>
      <c r="D333" s="101" t="s">
        <v>26</v>
      </c>
      <c r="E333" s="103">
        <f>1.2*1.25*3.57</f>
        <v>5.3549999999999995</v>
      </c>
      <c r="F333" s="57">
        <f>E333*F323</f>
        <v>0.9424799999999999</v>
      </c>
      <c r="G333" s="57">
        <v>444.37</v>
      </c>
      <c r="H333" s="162">
        <f>PRODUCT(F333,G333)</f>
        <v>418.8098375999999</v>
      </c>
      <c r="I333" s="165"/>
      <c r="J333" s="224"/>
      <c r="K333" s="165"/>
      <c r="L333" s="165"/>
      <c r="M333" s="165"/>
      <c r="N333" s="161"/>
      <c r="O333" s="165"/>
      <c r="P333" s="120"/>
      <c r="Q333" s="7"/>
      <c r="R333" s="7"/>
      <c r="S333" s="7"/>
      <c r="T333" s="7"/>
      <c r="U333" s="7"/>
      <c r="V333" s="7"/>
      <c r="W333"/>
    </row>
    <row r="334" spans="1:23" s="27" customFormat="1" ht="12.75" customHeight="1">
      <c r="A334" s="92"/>
      <c r="B334" s="101">
        <v>4</v>
      </c>
      <c r="C334" s="172" t="s">
        <v>27</v>
      </c>
      <c r="D334" s="222"/>
      <c r="E334" s="223"/>
      <c r="F334" s="57"/>
      <c r="G334" s="57"/>
      <c r="H334" s="76"/>
      <c r="I334" s="165"/>
      <c r="J334" s="225">
        <f>SUM(H335:H341)</f>
        <v>141344.86079999997</v>
      </c>
      <c r="K334" s="165"/>
      <c r="L334" s="165"/>
      <c r="M334" s="165"/>
      <c r="N334" s="161"/>
      <c r="O334" s="165"/>
      <c r="P334" s="120"/>
      <c r="Q334" s="7"/>
      <c r="R334"/>
      <c r="S334"/>
      <c r="T334"/>
      <c r="U334"/>
      <c r="V334"/>
      <c r="W334"/>
    </row>
    <row r="335" spans="1:23" s="27" customFormat="1" ht="12.75">
      <c r="A335" s="92"/>
      <c r="B335" s="101"/>
      <c r="C335" s="31" t="s">
        <v>209</v>
      </c>
      <c r="D335" s="101" t="s">
        <v>50</v>
      </c>
      <c r="E335" s="103">
        <v>92</v>
      </c>
      <c r="F335" s="57">
        <f>E335*F323</f>
        <v>16.192</v>
      </c>
      <c r="G335" s="57">
        <v>128</v>
      </c>
      <c r="H335" s="162">
        <f aca="true" t="shared" si="3" ref="H335:H341">PRODUCT(F335,G335)</f>
        <v>2072.576</v>
      </c>
      <c r="I335" s="165"/>
      <c r="J335" s="165"/>
      <c r="K335" s="165"/>
      <c r="L335" s="165"/>
      <c r="M335" s="165"/>
      <c r="N335" s="161"/>
      <c r="O335" s="165"/>
      <c r="P335" s="120"/>
      <c r="Q335" s="7"/>
      <c r="R335"/>
      <c r="S335"/>
      <c r="T335"/>
      <c r="U335"/>
      <c r="V335"/>
      <c r="W335"/>
    </row>
    <row r="336" spans="1:16" s="27" customFormat="1" ht="12.75">
      <c r="A336" s="92"/>
      <c r="B336" s="101"/>
      <c r="C336" s="172" t="s">
        <v>210</v>
      </c>
      <c r="D336" s="101" t="s">
        <v>211</v>
      </c>
      <c r="E336" s="103">
        <v>61.2</v>
      </c>
      <c r="F336" s="57">
        <f>E336*F323</f>
        <v>10.7712</v>
      </c>
      <c r="G336" s="57">
        <v>24</v>
      </c>
      <c r="H336" s="162">
        <f t="shared" si="3"/>
        <v>258.5088</v>
      </c>
      <c r="I336" s="165"/>
      <c r="J336" s="165"/>
      <c r="K336" s="219"/>
      <c r="L336" s="165"/>
      <c r="M336" s="165"/>
      <c r="N336" s="157"/>
      <c r="O336" s="165"/>
      <c r="P336" s="120"/>
    </row>
    <row r="337" spans="1:16" s="27" customFormat="1" ht="12.75" customHeight="1">
      <c r="A337" s="92"/>
      <c r="B337" s="101"/>
      <c r="C337" s="172" t="s">
        <v>212</v>
      </c>
      <c r="D337" s="101" t="s">
        <v>45</v>
      </c>
      <c r="E337" s="103">
        <v>347</v>
      </c>
      <c r="F337" s="57">
        <f>E337*F323</f>
        <v>61.071999999999996</v>
      </c>
      <c r="G337" s="57">
        <v>12</v>
      </c>
      <c r="H337" s="162">
        <f t="shared" si="3"/>
        <v>732.8639999999999</v>
      </c>
      <c r="I337" s="165"/>
      <c r="J337" s="165"/>
      <c r="K337" s="219"/>
      <c r="L337" s="165"/>
      <c r="M337" s="165"/>
      <c r="N337" s="157"/>
      <c r="O337" s="165"/>
      <c r="P337" s="120"/>
    </row>
    <row r="338" spans="1:16" s="27" customFormat="1" ht="12.75">
      <c r="A338" s="92"/>
      <c r="B338" s="101"/>
      <c r="C338" s="172" t="s">
        <v>213</v>
      </c>
      <c r="D338" s="32" t="s">
        <v>45</v>
      </c>
      <c r="E338" s="45">
        <v>71</v>
      </c>
      <c r="F338" s="57">
        <f>E338*F323</f>
        <v>12.495999999999999</v>
      </c>
      <c r="G338" s="34">
        <v>21</v>
      </c>
      <c r="H338" s="162">
        <f t="shared" si="3"/>
        <v>262.416</v>
      </c>
      <c r="I338" s="157"/>
      <c r="J338" s="157"/>
      <c r="K338" s="157"/>
      <c r="L338" s="160"/>
      <c r="M338" s="157"/>
      <c r="N338" s="157"/>
      <c r="O338" s="161"/>
      <c r="P338" s="120"/>
    </row>
    <row r="339" spans="1:23" ht="12.75">
      <c r="A339" s="92"/>
      <c r="B339" s="101"/>
      <c r="C339" s="172" t="s">
        <v>214</v>
      </c>
      <c r="D339" s="101" t="s">
        <v>45</v>
      </c>
      <c r="E339" s="103">
        <v>214</v>
      </c>
      <c r="F339" s="57">
        <f>E339*F323</f>
        <v>37.663999999999994</v>
      </c>
      <c r="G339" s="34">
        <v>14</v>
      </c>
      <c r="H339" s="162">
        <f t="shared" si="3"/>
        <v>527.2959999999999</v>
      </c>
      <c r="I339" s="165"/>
      <c r="J339" s="165"/>
      <c r="K339" s="219"/>
      <c r="L339" s="165"/>
      <c r="M339" s="165"/>
      <c r="N339" s="165"/>
      <c r="O339" s="164"/>
      <c r="P339" s="120"/>
      <c r="Q339" s="27"/>
      <c r="R339" s="27"/>
      <c r="S339" s="27"/>
      <c r="T339" s="27"/>
      <c r="U339" s="27"/>
      <c r="V339" s="27"/>
      <c r="W339" s="27"/>
    </row>
    <row r="340" spans="1:23" ht="12.75">
      <c r="A340" s="92"/>
      <c r="B340" s="101"/>
      <c r="C340" s="172" t="s">
        <v>215</v>
      </c>
      <c r="D340" s="101" t="s">
        <v>50</v>
      </c>
      <c r="E340" s="103">
        <v>800</v>
      </c>
      <c r="F340" s="57">
        <f>E340*F323</f>
        <v>140.79999999999998</v>
      </c>
      <c r="G340" s="34">
        <v>1.5</v>
      </c>
      <c r="H340" s="162">
        <f t="shared" si="3"/>
        <v>211.2</v>
      </c>
      <c r="I340" s="165"/>
      <c r="J340" s="165"/>
      <c r="K340" s="165"/>
      <c r="L340" s="165"/>
      <c r="M340" s="219"/>
      <c r="N340" s="165"/>
      <c r="O340" s="164"/>
      <c r="P340" s="120"/>
      <c r="Q340" s="27"/>
      <c r="R340" s="27"/>
      <c r="S340" s="27"/>
      <c r="T340" s="27"/>
      <c r="U340" s="27"/>
      <c r="V340" s="27"/>
      <c r="W340" s="27"/>
    </row>
    <row r="341" spans="1:23" ht="14.25">
      <c r="A341" s="92"/>
      <c r="B341" s="101"/>
      <c r="C341" s="172" t="s">
        <v>216</v>
      </c>
      <c r="D341" s="94" t="s">
        <v>360</v>
      </c>
      <c r="E341" s="103">
        <v>100</v>
      </c>
      <c r="F341" s="57">
        <f>E341*F323</f>
        <v>17.599999999999998</v>
      </c>
      <c r="G341" s="46">
        <v>7800</v>
      </c>
      <c r="H341" s="162">
        <f t="shared" si="3"/>
        <v>137279.99999999997</v>
      </c>
      <c r="I341" s="219"/>
      <c r="J341" s="165"/>
      <c r="K341" s="165"/>
      <c r="L341" s="165"/>
      <c r="M341" s="165"/>
      <c r="N341" s="165"/>
      <c r="O341" s="164"/>
      <c r="P341" s="120"/>
      <c r="Q341" s="27"/>
      <c r="R341" s="27"/>
      <c r="S341" s="27"/>
      <c r="T341" s="27"/>
      <c r="U341" s="27"/>
      <c r="V341" s="27"/>
      <c r="W341" s="27"/>
    </row>
    <row r="342" spans="1:23" ht="25.5">
      <c r="A342" s="44">
        <v>3</v>
      </c>
      <c r="B342" s="38" t="s">
        <v>217</v>
      </c>
      <c r="C342" s="180" t="s">
        <v>218</v>
      </c>
      <c r="D342" s="38" t="s">
        <v>219</v>
      </c>
      <c r="E342" s="180"/>
      <c r="F342" s="56">
        <v>0.05</v>
      </c>
      <c r="G342" s="34"/>
      <c r="H342" s="61"/>
      <c r="I342" s="120"/>
      <c r="J342" s="120"/>
      <c r="K342" s="120"/>
      <c r="L342" s="120"/>
      <c r="M342" s="120"/>
      <c r="N342" s="120"/>
      <c r="O342" s="120"/>
      <c r="P342" s="120"/>
      <c r="Q342" s="27"/>
      <c r="R342" s="27"/>
      <c r="S342" s="27"/>
      <c r="T342" s="27"/>
      <c r="U342" s="27"/>
      <c r="V342" s="27"/>
      <c r="W342" s="27"/>
    </row>
    <row r="343" spans="1:23" ht="12.75">
      <c r="A343" s="117"/>
      <c r="B343" s="32" t="s">
        <v>109</v>
      </c>
      <c r="C343" s="35" t="s">
        <v>18</v>
      </c>
      <c r="D343" s="98"/>
      <c r="E343" s="118">
        <f>0.94*106.2%</f>
        <v>0.99828</v>
      </c>
      <c r="F343" s="119"/>
      <c r="G343" s="91"/>
      <c r="H343" s="40"/>
      <c r="I343" s="120"/>
      <c r="J343" s="120"/>
      <c r="K343" s="120"/>
      <c r="L343" s="120"/>
      <c r="M343" s="120"/>
      <c r="N343" s="120"/>
      <c r="O343" s="120"/>
      <c r="P343" s="120"/>
      <c r="Q343" s="27"/>
      <c r="R343" s="27"/>
      <c r="S343" s="27"/>
      <c r="T343" s="27"/>
      <c r="U343" s="27"/>
      <c r="V343" s="27"/>
      <c r="W343" s="27"/>
    </row>
    <row r="344" spans="1:23" ht="12.75">
      <c r="A344" s="44"/>
      <c r="B344" s="94" t="s">
        <v>39</v>
      </c>
      <c r="C344" s="31" t="s">
        <v>19</v>
      </c>
      <c r="D344" s="38"/>
      <c r="E344" s="33">
        <v>0.5355</v>
      </c>
      <c r="F344" s="115"/>
      <c r="G344" s="46"/>
      <c r="H344" s="40"/>
      <c r="I344" s="121"/>
      <c r="J344" s="121"/>
      <c r="K344" s="47"/>
      <c r="L344" s="47"/>
      <c r="M344" s="47"/>
      <c r="N344" s="122"/>
      <c r="O344" s="50">
        <f>SUM(H345:H347)*E344</f>
        <v>56.50922596095</v>
      </c>
      <c r="P344" s="120"/>
      <c r="Q344" s="27"/>
      <c r="R344" s="27"/>
      <c r="S344" s="27"/>
      <c r="T344" s="27"/>
      <c r="U344" s="27"/>
      <c r="V344" s="27"/>
      <c r="W344" s="27"/>
    </row>
    <row r="345" spans="1:23" ht="12.75">
      <c r="A345" s="117"/>
      <c r="B345" s="38"/>
      <c r="C345" s="35" t="s">
        <v>20</v>
      </c>
      <c r="D345" s="32" t="s">
        <v>21</v>
      </c>
      <c r="E345" s="45">
        <f>1.2*1.15*21.19</f>
        <v>29.2422</v>
      </c>
      <c r="F345" s="46">
        <f>PRODUCT(F342,E345)</f>
        <v>1.46211</v>
      </c>
      <c r="G345" s="46">
        <v>71.99</v>
      </c>
      <c r="H345" s="36">
        <f>PRODUCT(F345,G345)</f>
        <v>105.2572989</v>
      </c>
      <c r="I345" s="121"/>
      <c r="J345" s="121"/>
      <c r="K345" s="47"/>
      <c r="L345" s="50">
        <f>SUM(H345)</f>
        <v>105.2572989</v>
      </c>
      <c r="M345" s="47"/>
      <c r="N345" s="47"/>
      <c r="O345" s="120"/>
      <c r="P345" s="120"/>
      <c r="Q345" s="27"/>
      <c r="R345" s="27"/>
      <c r="S345" s="27"/>
      <c r="T345" s="27"/>
      <c r="U345" s="27"/>
      <c r="V345" s="27"/>
      <c r="W345" s="27"/>
    </row>
    <row r="346" spans="1:23" ht="12.75">
      <c r="A346" s="117"/>
      <c r="B346" s="48" t="s">
        <v>150</v>
      </c>
      <c r="C346" s="35" t="s">
        <v>22</v>
      </c>
      <c r="D346" s="32"/>
      <c r="E346" s="45">
        <v>3</v>
      </c>
      <c r="F346" s="46"/>
      <c r="G346" s="46"/>
      <c r="H346" s="36"/>
      <c r="I346" s="120"/>
      <c r="J346" s="120"/>
      <c r="K346" s="50">
        <f>SUM(H345:H347)*E343</f>
        <v>105.34459400989199</v>
      </c>
      <c r="L346" s="47"/>
      <c r="M346" s="47"/>
      <c r="N346" s="47"/>
      <c r="O346" s="120"/>
      <c r="P346" s="120"/>
      <c r="Q346" s="27"/>
      <c r="R346" s="27"/>
      <c r="S346" s="27"/>
      <c r="T346" s="27"/>
      <c r="U346" s="27"/>
      <c r="V346" s="27"/>
      <c r="W346" s="27"/>
    </row>
    <row r="347" spans="1:23" ht="12.75">
      <c r="A347" s="117"/>
      <c r="B347" s="32">
        <v>2</v>
      </c>
      <c r="C347" s="35" t="s">
        <v>23</v>
      </c>
      <c r="D347" s="32" t="s">
        <v>21</v>
      </c>
      <c r="E347" s="45">
        <f>1.2*1.25*0.19-E350</f>
        <v>0.06000000000000005</v>
      </c>
      <c r="F347" s="46">
        <f>PRODUCT(F342,E347)</f>
        <v>0.0030000000000000027</v>
      </c>
      <c r="G347" s="34">
        <v>89.6</v>
      </c>
      <c r="H347" s="36">
        <f>PRODUCT(F347,G347)</f>
        <v>0.2688000000000002</v>
      </c>
      <c r="I347" s="120"/>
      <c r="J347" s="120"/>
      <c r="K347" s="47"/>
      <c r="L347" s="47"/>
      <c r="M347" s="50">
        <f>SUM(H347)</f>
        <v>0.2688000000000002</v>
      </c>
      <c r="N347" s="47"/>
      <c r="O347" s="120"/>
      <c r="P347" s="120"/>
      <c r="Q347" s="27"/>
      <c r="R347" s="27"/>
      <c r="S347" s="27"/>
      <c r="T347" s="27"/>
      <c r="U347" s="27"/>
      <c r="V347" s="27"/>
      <c r="W347" s="27"/>
    </row>
    <row r="348" spans="1:23" ht="12.75">
      <c r="A348" s="117"/>
      <c r="B348" s="32">
        <v>3</v>
      </c>
      <c r="C348" s="35" t="s">
        <v>24</v>
      </c>
      <c r="D348" s="32"/>
      <c r="E348" s="45"/>
      <c r="F348" s="46"/>
      <c r="G348" s="34"/>
      <c r="H348" s="36"/>
      <c r="I348" s="226">
        <f>SUM(H349:H350)</f>
        <v>12.261562500000002</v>
      </c>
      <c r="J348" s="120"/>
      <c r="K348" s="120"/>
      <c r="L348" s="120"/>
      <c r="M348" s="120"/>
      <c r="N348" s="120"/>
      <c r="O348" s="120"/>
      <c r="P348" s="120"/>
      <c r="Q348" s="27"/>
      <c r="R348" s="27"/>
      <c r="S348" s="27"/>
      <c r="T348" s="27"/>
      <c r="U348" s="27"/>
      <c r="V348" s="27"/>
      <c r="W348" s="27"/>
    </row>
    <row r="349" spans="1:23" ht="12.75">
      <c r="A349" s="117"/>
      <c r="B349" s="32"/>
      <c r="C349" s="108" t="s">
        <v>25</v>
      </c>
      <c r="D349" s="32" t="s">
        <v>26</v>
      </c>
      <c r="E349" s="45">
        <f>1.2*1.25*0.4</f>
        <v>0.6000000000000001</v>
      </c>
      <c r="F349" s="46">
        <f>PRODUCT(F342,E349)</f>
        <v>0.030000000000000006</v>
      </c>
      <c r="G349" s="57">
        <v>242.08</v>
      </c>
      <c r="H349" s="36">
        <f>PRODUCT(F349,G349)</f>
        <v>7.262400000000002</v>
      </c>
      <c r="I349" s="120"/>
      <c r="J349" s="120"/>
      <c r="K349" s="120"/>
      <c r="L349" s="120"/>
      <c r="M349" s="120"/>
      <c r="N349" s="120"/>
      <c r="O349" s="120"/>
      <c r="P349" s="120"/>
      <c r="Q349" s="27"/>
      <c r="R349" s="27"/>
      <c r="S349" s="27"/>
      <c r="T349" s="27"/>
      <c r="U349" s="27"/>
      <c r="V349" s="27"/>
      <c r="W349" s="27"/>
    </row>
    <row r="350" spans="1:23" ht="12.75">
      <c r="A350" s="117"/>
      <c r="B350" s="32"/>
      <c r="C350" s="35" t="s">
        <v>220</v>
      </c>
      <c r="D350" s="32" t="s">
        <v>26</v>
      </c>
      <c r="E350" s="45">
        <f>1.2*1.25*0.15</f>
        <v>0.22499999999999998</v>
      </c>
      <c r="F350" s="46">
        <f>PRODUCT(F342,E350)</f>
        <v>0.01125</v>
      </c>
      <c r="G350" s="66">
        <v>444.37</v>
      </c>
      <c r="H350" s="36">
        <f>PRODUCT(F350,G350)</f>
        <v>4.9991625</v>
      </c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</row>
    <row r="351" spans="1:23" ht="12.75">
      <c r="A351" s="117"/>
      <c r="B351" s="32">
        <v>4</v>
      </c>
      <c r="C351" s="35" t="s">
        <v>27</v>
      </c>
      <c r="D351" s="32"/>
      <c r="E351" s="45"/>
      <c r="F351" s="46"/>
      <c r="G351" s="34"/>
      <c r="H351" s="36"/>
      <c r="I351" s="120"/>
      <c r="J351" s="226">
        <f>SUM(H352:H354)</f>
        <v>3997.2400000000007</v>
      </c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</row>
    <row r="352" spans="1:23" ht="12.75">
      <c r="A352" s="117"/>
      <c r="B352" s="32"/>
      <c r="C352" s="31" t="s">
        <v>209</v>
      </c>
      <c r="D352" s="32" t="s">
        <v>121</v>
      </c>
      <c r="E352" s="45">
        <v>56.6</v>
      </c>
      <c r="F352" s="46">
        <f>E352*F342</f>
        <v>2.83</v>
      </c>
      <c r="G352" s="34">
        <v>128</v>
      </c>
      <c r="H352" s="36">
        <f>PRODUCT(F352,G352)</f>
        <v>362.24</v>
      </c>
      <c r="I352" s="120"/>
      <c r="J352" s="120"/>
      <c r="K352" s="120"/>
      <c r="L352" s="120"/>
      <c r="M352" s="120"/>
      <c r="N352" s="120"/>
      <c r="O352" s="120"/>
      <c r="P352" s="120"/>
      <c r="Q352" s="156"/>
      <c r="R352" s="27"/>
      <c r="S352" s="27"/>
      <c r="T352" s="27"/>
      <c r="U352" s="27"/>
      <c r="V352" s="27"/>
      <c r="W352" s="27"/>
    </row>
    <row r="353" spans="1:23" ht="12.75">
      <c r="A353" s="117"/>
      <c r="B353" s="32"/>
      <c r="C353" s="35" t="s">
        <v>221</v>
      </c>
      <c r="D353" s="32" t="s">
        <v>45</v>
      </c>
      <c r="E353" s="45" t="s">
        <v>122</v>
      </c>
      <c r="F353" s="46">
        <f>F342*1.1*100</f>
        <v>5.500000000000001</v>
      </c>
      <c r="G353" s="34">
        <v>650</v>
      </c>
      <c r="H353" s="36">
        <f>PRODUCT(F353,G353)</f>
        <v>3575.0000000000005</v>
      </c>
      <c r="I353" s="120"/>
      <c r="J353" s="120"/>
      <c r="K353" s="120"/>
      <c r="L353" s="120"/>
      <c r="M353" s="120"/>
      <c r="N353" s="120"/>
      <c r="O353" s="120"/>
      <c r="P353" s="120"/>
      <c r="Q353" s="27"/>
      <c r="R353" s="27"/>
      <c r="S353" s="27"/>
      <c r="T353" s="27"/>
      <c r="U353" s="27"/>
      <c r="V353" s="27"/>
      <c r="W353" s="27"/>
    </row>
    <row r="354" spans="1:23" ht="12.75">
      <c r="A354" s="117"/>
      <c r="B354" s="32"/>
      <c r="C354" s="172" t="s">
        <v>215</v>
      </c>
      <c r="D354" s="32" t="s">
        <v>121</v>
      </c>
      <c r="E354" s="45">
        <v>800</v>
      </c>
      <c r="F354" s="46">
        <f>PRODUCT(F342,E354)</f>
        <v>40</v>
      </c>
      <c r="G354" s="34">
        <v>1.5</v>
      </c>
      <c r="H354" s="36">
        <f>PRODUCT(F354,G354)</f>
        <v>60</v>
      </c>
      <c r="I354" s="120"/>
      <c r="J354" s="120"/>
      <c r="K354" s="120"/>
      <c r="L354" s="120"/>
      <c r="M354" s="120"/>
      <c r="N354" s="120"/>
      <c r="O354" s="120"/>
      <c r="P354" s="120"/>
      <c r="Q354" s="27"/>
      <c r="R354" s="27"/>
      <c r="S354" s="27"/>
      <c r="T354" s="27"/>
      <c r="U354" s="27"/>
      <c r="V354" s="27"/>
      <c r="W354" s="27"/>
    </row>
    <row r="355" spans="1:23" s="347" customFormat="1" ht="63.75">
      <c r="A355" s="92">
        <v>4</v>
      </c>
      <c r="B355" s="53" t="s">
        <v>377</v>
      </c>
      <c r="C355" s="155" t="s">
        <v>378</v>
      </c>
      <c r="D355" s="332" t="s">
        <v>359</v>
      </c>
      <c r="E355" s="228"/>
      <c r="F355" s="229">
        <v>0.13</v>
      </c>
      <c r="G355" s="57"/>
      <c r="H355" s="218"/>
      <c r="I355" s="352"/>
      <c r="J355" s="352"/>
      <c r="K355" s="352"/>
      <c r="L355" s="352"/>
      <c r="M355" s="352"/>
      <c r="N355" s="352"/>
      <c r="O355" s="156"/>
      <c r="P355" s="156"/>
      <c r="Q355" s="324"/>
      <c r="R355" s="324"/>
      <c r="S355" s="324"/>
      <c r="T355" s="324"/>
      <c r="U355" s="324"/>
      <c r="V355" s="324"/>
      <c r="W355" s="324"/>
    </row>
    <row r="356" spans="1:16" ht="12.75">
      <c r="A356" s="29"/>
      <c r="B356" s="30" t="s">
        <v>38</v>
      </c>
      <c r="C356" s="327" t="s">
        <v>18</v>
      </c>
      <c r="D356" s="328"/>
      <c r="E356" s="93">
        <f>94.5%*0.94</f>
        <v>0.8882999999999999</v>
      </c>
      <c r="F356" s="329"/>
      <c r="G356" s="329"/>
      <c r="H356" s="331"/>
      <c r="I356" s="37"/>
      <c r="J356" s="1"/>
      <c r="K356" s="1"/>
      <c r="L356" s="37"/>
      <c r="M356" s="1"/>
      <c r="N356" s="1"/>
      <c r="P356" s="324"/>
    </row>
    <row r="357" spans="1:16" ht="12.75">
      <c r="A357" s="29"/>
      <c r="B357" s="94" t="s">
        <v>39</v>
      </c>
      <c r="C357" s="327" t="s">
        <v>19</v>
      </c>
      <c r="D357" s="332"/>
      <c r="E357" s="93">
        <v>0.4675</v>
      </c>
      <c r="F357" s="329"/>
      <c r="G357" s="329"/>
      <c r="H357" s="40"/>
      <c r="I357" s="333"/>
      <c r="J357" s="333"/>
      <c r="K357" s="323"/>
      <c r="L357" s="323"/>
      <c r="M357" s="323"/>
      <c r="N357" s="334"/>
      <c r="O357" s="326">
        <f>SUM(H358:H360)*E357</f>
        <v>1080.1764008177997</v>
      </c>
      <c r="P357" s="324"/>
    </row>
    <row r="358" spans="1:23" ht="12.75">
      <c r="A358" s="136"/>
      <c r="B358" s="94">
        <v>1</v>
      </c>
      <c r="C358" s="108" t="s">
        <v>20</v>
      </c>
      <c r="D358" s="353" t="s">
        <v>21</v>
      </c>
      <c r="E358" s="55">
        <f>1.2*1.15*166.47</f>
        <v>229.72859999999997</v>
      </c>
      <c r="F358" s="348">
        <f>E358*F355</f>
        <v>29.864717999999996</v>
      </c>
      <c r="G358" s="348">
        <v>77.32</v>
      </c>
      <c r="H358" s="162">
        <f>PRODUCT(F358,G358)</f>
        <v>2309.1399957599997</v>
      </c>
      <c r="I358" s="351"/>
      <c r="J358" s="351"/>
      <c r="K358" s="349"/>
      <c r="L358" s="350"/>
      <c r="M358" s="349"/>
      <c r="N358" s="349"/>
      <c r="O358" s="347"/>
      <c r="P358" s="156"/>
      <c r="Q358" s="324"/>
      <c r="R358" s="324"/>
      <c r="S358" s="324"/>
      <c r="T358" s="324"/>
      <c r="U358" s="324"/>
      <c r="V358" s="324"/>
      <c r="W358" s="324"/>
    </row>
    <row r="359" spans="1:23" ht="12.75">
      <c r="A359" s="136"/>
      <c r="B359" s="69"/>
      <c r="C359" s="232" t="s">
        <v>22</v>
      </c>
      <c r="D359" s="53"/>
      <c r="E359" s="55">
        <v>3.6</v>
      </c>
      <c r="F359" s="348"/>
      <c r="G359" s="348"/>
      <c r="H359" s="331"/>
      <c r="I359" s="347"/>
      <c r="J359" s="347"/>
      <c r="K359" s="350"/>
      <c r="L359" s="349"/>
      <c r="M359" s="349"/>
      <c r="N359" s="349"/>
      <c r="O359" s="347"/>
      <c r="P359" s="156"/>
      <c r="Q359" s="324"/>
      <c r="R359" s="324"/>
      <c r="S359" s="324"/>
      <c r="T359" s="324"/>
      <c r="U359" s="324"/>
      <c r="V359" s="324"/>
      <c r="W359" s="324"/>
    </row>
    <row r="360" spans="1:23" ht="12.75">
      <c r="A360" s="136"/>
      <c r="B360" s="94">
        <v>2</v>
      </c>
      <c r="C360" s="108" t="s">
        <v>23</v>
      </c>
      <c r="D360" s="94" t="s">
        <v>21</v>
      </c>
      <c r="E360" s="55">
        <f>1.2*1.25*0.58-E364</f>
        <v>0.11999999999999988</v>
      </c>
      <c r="F360" s="348">
        <f>E360*F355</f>
        <v>0.015599999999999985</v>
      </c>
      <c r="G360" s="348">
        <v>89.6</v>
      </c>
      <c r="H360" s="162">
        <f>PRODUCT(F360,G360)</f>
        <v>1.3977599999999986</v>
      </c>
      <c r="I360" s="347"/>
      <c r="J360" s="347"/>
      <c r="K360" s="349"/>
      <c r="L360" s="349"/>
      <c r="M360" s="350"/>
      <c r="N360" s="349"/>
      <c r="O360" s="347"/>
      <c r="P360" s="156"/>
      <c r="Q360" s="324"/>
      <c r="R360" s="324"/>
      <c r="S360" s="324"/>
      <c r="T360" s="324"/>
      <c r="U360" s="324"/>
      <c r="V360" s="324"/>
      <c r="W360" s="324"/>
    </row>
    <row r="361" spans="1:23" ht="12.75">
      <c r="A361" s="136"/>
      <c r="B361" s="69"/>
      <c r="C361" s="108" t="s">
        <v>24</v>
      </c>
      <c r="D361" s="94"/>
      <c r="E361" s="55"/>
      <c r="F361" s="348"/>
      <c r="G361" s="329"/>
      <c r="H361" s="331"/>
      <c r="I361" s="346"/>
      <c r="J361" s="347"/>
      <c r="K361" s="347"/>
      <c r="L361" s="347"/>
      <c r="M361" s="347"/>
      <c r="N361" s="347"/>
      <c r="O361" s="347"/>
      <c r="P361" s="156"/>
      <c r="Q361" s="324"/>
      <c r="R361" s="324"/>
      <c r="S361" s="324"/>
      <c r="T361" s="324"/>
      <c r="U361" s="324"/>
      <c r="V361" s="324"/>
      <c r="W361" s="324"/>
    </row>
    <row r="362" spans="1:23" ht="12.75" customHeight="1">
      <c r="A362" s="136"/>
      <c r="B362" s="94">
        <v>31121</v>
      </c>
      <c r="C362" s="108" t="s">
        <v>139</v>
      </c>
      <c r="D362" s="94" t="s">
        <v>26</v>
      </c>
      <c r="E362" s="55">
        <f>1.2*1.25*0.08</f>
        <v>0.12</v>
      </c>
      <c r="F362" s="348">
        <f>E362*F355</f>
        <v>0.0156</v>
      </c>
      <c r="G362" s="57">
        <v>242.08</v>
      </c>
      <c r="H362" s="162">
        <f>PRODUCT(F362,G362)</f>
        <v>3.776448</v>
      </c>
      <c r="I362" s="347"/>
      <c r="J362" s="347"/>
      <c r="K362" s="347"/>
      <c r="L362" s="347"/>
      <c r="M362" s="347"/>
      <c r="N362" s="347"/>
      <c r="O362" s="347"/>
      <c r="P362" s="156"/>
      <c r="Q362" s="324"/>
      <c r="R362" s="324"/>
      <c r="S362" s="324"/>
      <c r="T362" s="324"/>
      <c r="U362" s="324"/>
      <c r="V362" s="324"/>
      <c r="W362" s="324"/>
    </row>
    <row r="363" spans="1:23" ht="12.75">
      <c r="A363" s="136"/>
      <c r="B363" s="94">
        <v>331531</v>
      </c>
      <c r="C363" s="108" t="s">
        <v>379</v>
      </c>
      <c r="D363" s="94" t="s">
        <v>26</v>
      </c>
      <c r="E363" s="55">
        <f>1.2*1.25*0.26</f>
        <v>0.39</v>
      </c>
      <c r="F363" s="348">
        <f>E363*F355</f>
        <v>0.0507</v>
      </c>
      <c r="G363" s="57">
        <v>12.9</v>
      </c>
      <c r="H363" s="162">
        <f>PRODUCT(F363,G363)</f>
        <v>0.65403</v>
      </c>
      <c r="I363" s="347"/>
      <c r="J363" s="347"/>
      <c r="K363" s="350"/>
      <c r="L363" s="349"/>
      <c r="M363" s="349"/>
      <c r="N363" s="349"/>
      <c r="O363" s="347"/>
      <c r="P363" s="156"/>
      <c r="Q363" s="324"/>
      <c r="R363" s="324"/>
      <c r="S363" s="324"/>
      <c r="T363" s="324"/>
      <c r="U363" s="324"/>
      <c r="V363" s="324"/>
      <c r="W363" s="324"/>
    </row>
    <row r="364" spans="1:23" ht="12.75" customHeight="1">
      <c r="A364" s="136"/>
      <c r="B364" s="94">
        <v>400001</v>
      </c>
      <c r="C364" s="108" t="s">
        <v>157</v>
      </c>
      <c r="D364" s="94" t="s">
        <v>26</v>
      </c>
      <c r="E364" s="55">
        <f>1.2*1.25*0.5</f>
        <v>0.75</v>
      </c>
      <c r="F364" s="348">
        <f>E364*F355</f>
        <v>0.0975</v>
      </c>
      <c r="G364" s="66">
        <v>444.37</v>
      </c>
      <c r="H364" s="162">
        <f>PRODUCT(F364,G364)</f>
        <v>43.326075</v>
      </c>
      <c r="I364" s="346"/>
      <c r="J364" s="346"/>
      <c r="K364" s="347"/>
      <c r="L364" s="347"/>
      <c r="M364" s="347"/>
      <c r="N364" s="347"/>
      <c r="O364" s="347"/>
      <c r="P364" s="156"/>
      <c r="Q364" s="324"/>
      <c r="R364" s="324"/>
      <c r="S364" s="324"/>
      <c r="T364" s="324"/>
      <c r="U364" s="324"/>
      <c r="V364" s="324"/>
      <c r="W364" s="324"/>
    </row>
    <row r="365" spans="1:23" ht="12.75">
      <c r="A365" s="92"/>
      <c r="B365" s="353">
        <v>4</v>
      </c>
      <c r="C365" s="354" t="s">
        <v>27</v>
      </c>
      <c r="D365" s="353"/>
      <c r="E365" s="355"/>
      <c r="F365" s="348"/>
      <c r="G365" s="67"/>
      <c r="H365" s="331"/>
      <c r="I365" s="347"/>
      <c r="J365" s="347"/>
      <c r="K365" s="347"/>
      <c r="L365" s="347"/>
      <c r="M365" s="347"/>
      <c r="N365" s="347"/>
      <c r="O365" s="347"/>
      <c r="P365" s="156"/>
      <c r="Q365" s="324"/>
      <c r="R365" s="324"/>
      <c r="S365" s="324"/>
      <c r="T365" s="324"/>
      <c r="U365" s="324"/>
      <c r="V365" s="324"/>
      <c r="W365" s="324"/>
    </row>
    <row r="366" spans="1:23" ht="12.75">
      <c r="A366" s="136"/>
      <c r="B366" s="353" t="s">
        <v>380</v>
      </c>
      <c r="C366" s="354" t="s">
        <v>381</v>
      </c>
      <c r="D366" s="94" t="s">
        <v>94</v>
      </c>
      <c r="E366" s="356">
        <v>105</v>
      </c>
      <c r="F366" s="348">
        <f>E366*F355</f>
        <v>13.65</v>
      </c>
      <c r="G366" s="329">
        <v>250</v>
      </c>
      <c r="H366" s="162">
        <f>PRODUCT(F366,G366)</f>
        <v>3412.5</v>
      </c>
      <c r="I366" s="347"/>
      <c r="J366" s="347"/>
      <c r="K366" s="347"/>
      <c r="L366" s="347"/>
      <c r="M366" s="347"/>
      <c r="N366" s="347"/>
      <c r="O366" s="347"/>
      <c r="P366" s="156"/>
      <c r="Q366" s="324"/>
      <c r="R366" s="324"/>
      <c r="S366" s="324"/>
      <c r="T366" s="324"/>
      <c r="U366" s="324"/>
      <c r="V366" s="324"/>
      <c r="W366" s="324"/>
    </row>
    <row r="367" spans="1:23" ht="12.75">
      <c r="A367" s="357"/>
      <c r="B367" s="358" t="s">
        <v>382</v>
      </c>
      <c r="C367" s="359" t="s">
        <v>383</v>
      </c>
      <c r="D367" s="360" t="s">
        <v>72</v>
      </c>
      <c r="E367" s="361">
        <v>30</v>
      </c>
      <c r="F367" s="362">
        <f>E367*F355</f>
        <v>3.9000000000000004</v>
      </c>
      <c r="G367" s="362">
        <v>150</v>
      </c>
      <c r="H367" s="162">
        <f>PRODUCT(F367,G367)</f>
        <v>585</v>
      </c>
      <c r="I367" s="324"/>
      <c r="J367" s="324"/>
      <c r="K367" s="326"/>
      <c r="L367" s="323"/>
      <c r="M367" s="323"/>
      <c r="N367" s="323"/>
      <c r="O367" s="324"/>
      <c r="P367" s="324"/>
      <c r="Q367" s="347"/>
      <c r="R367" s="347"/>
      <c r="S367" s="347"/>
      <c r="T367" s="347"/>
      <c r="U367" s="347"/>
      <c r="V367" s="347"/>
      <c r="W367" s="347"/>
    </row>
    <row r="368" spans="1:23" ht="12.75">
      <c r="A368" s="357"/>
      <c r="B368" s="360" t="s">
        <v>86</v>
      </c>
      <c r="C368" s="359" t="s">
        <v>87</v>
      </c>
      <c r="D368" s="360" t="s">
        <v>35</v>
      </c>
      <c r="E368" s="361">
        <v>0.0089</v>
      </c>
      <c r="F368" s="362">
        <f>E368*F355</f>
        <v>0.001157</v>
      </c>
      <c r="G368" s="57">
        <v>48900</v>
      </c>
      <c r="H368" s="162">
        <f>PRODUCT(F368,G368)</f>
        <v>56.5773</v>
      </c>
      <c r="I368" s="323"/>
      <c r="J368" s="323"/>
      <c r="K368" s="326"/>
      <c r="L368" s="323"/>
      <c r="M368" s="323"/>
      <c r="N368" s="326"/>
      <c r="O368" s="324"/>
      <c r="P368" s="324"/>
      <c r="Q368" s="347"/>
      <c r="R368" s="347"/>
      <c r="S368" s="347"/>
      <c r="T368" s="347"/>
      <c r="U368" s="347"/>
      <c r="V368" s="347"/>
      <c r="W368" s="347"/>
    </row>
    <row r="369" spans="1:17" s="1" customFormat="1" ht="63.75">
      <c r="A369" s="73">
        <v>5</v>
      </c>
      <c r="B369" s="114" t="s">
        <v>384</v>
      </c>
      <c r="C369" s="213" t="s">
        <v>385</v>
      </c>
      <c r="D369" s="363" t="s">
        <v>362</v>
      </c>
      <c r="E369" s="267"/>
      <c r="F369" s="364">
        <v>0.18</v>
      </c>
      <c r="G369" s="102"/>
      <c r="H369" s="365"/>
      <c r="J369" s="124"/>
      <c r="Q369" s="325"/>
    </row>
    <row r="370" spans="1:17" ht="12.75">
      <c r="A370" s="190"/>
      <c r="B370" s="366"/>
      <c r="C370" s="193" t="s">
        <v>18</v>
      </c>
      <c r="D370" s="199"/>
      <c r="E370" s="200">
        <f>0.94*80%</f>
        <v>0.752</v>
      </c>
      <c r="F370" s="367"/>
      <c r="G370" s="367"/>
      <c r="H370" s="368"/>
      <c r="I370" s="83"/>
      <c r="J370" s="83"/>
      <c r="K370" s="83"/>
      <c r="L370" s="83"/>
      <c r="M370" s="83"/>
      <c r="N370" s="83"/>
      <c r="O370" s="83"/>
      <c r="Q370" s="325"/>
    </row>
    <row r="371" spans="1:17" ht="12.75">
      <c r="A371" s="190"/>
      <c r="B371" s="366"/>
      <c r="C371" s="201" t="s">
        <v>19</v>
      </c>
      <c r="D371" s="199"/>
      <c r="E371" s="369">
        <v>0.5</v>
      </c>
      <c r="F371" s="367"/>
      <c r="G371" s="367"/>
      <c r="H371" s="368"/>
      <c r="I371" s="370"/>
      <c r="J371" s="370"/>
      <c r="K371" s="370"/>
      <c r="L371" s="370"/>
      <c r="M371" s="370"/>
      <c r="N371" s="370"/>
      <c r="O371" s="84">
        <f>SUM(H372:H374)*E371</f>
        <v>493.70724</v>
      </c>
      <c r="Q371" s="325"/>
    </row>
    <row r="372" spans="1:17" s="1" customFormat="1" ht="12.75">
      <c r="A372" s="371"/>
      <c r="B372" s="123"/>
      <c r="C372" s="102" t="s">
        <v>20</v>
      </c>
      <c r="D372" s="101" t="s">
        <v>21</v>
      </c>
      <c r="E372" s="67">
        <v>80.6</v>
      </c>
      <c r="F372" s="67">
        <f>E372*F369</f>
        <v>14.508</v>
      </c>
      <c r="G372" s="381">
        <v>68.06</v>
      </c>
      <c r="H372" s="372">
        <f>PRODUCT(F372,G372)</f>
        <v>987.41448</v>
      </c>
      <c r="I372" s="83"/>
      <c r="J372" s="83"/>
      <c r="K372" s="83"/>
      <c r="L372" s="84">
        <f>SUM(H372)</f>
        <v>987.41448</v>
      </c>
      <c r="M372" s="83"/>
      <c r="Q372" s="325"/>
    </row>
    <row r="373" spans="1:17" s="1" customFormat="1" ht="12.75">
      <c r="A373" s="371"/>
      <c r="B373" s="123"/>
      <c r="C373" s="102" t="s">
        <v>22</v>
      </c>
      <c r="D373" s="101"/>
      <c r="E373" s="67">
        <v>2.4</v>
      </c>
      <c r="F373" s="67"/>
      <c r="G373" s="382"/>
      <c r="H373" s="368"/>
      <c r="I373" s="83"/>
      <c r="J373" s="83"/>
      <c r="K373" s="84">
        <f>SUM(H372:H374)*E370</f>
        <v>742.53568896</v>
      </c>
      <c r="L373" s="83"/>
      <c r="M373" s="83"/>
      <c r="Q373" s="325"/>
    </row>
    <row r="374" spans="1:17" s="1" customFormat="1" ht="12.75">
      <c r="A374" s="371"/>
      <c r="B374" s="101">
        <v>2</v>
      </c>
      <c r="C374" s="102" t="s">
        <v>23</v>
      </c>
      <c r="D374" s="101" t="s">
        <v>21</v>
      </c>
      <c r="E374" s="67">
        <v>0</v>
      </c>
      <c r="F374" s="67">
        <f>E374*F369</f>
        <v>0</v>
      </c>
      <c r="G374" s="383">
        <v>89.6</v>
      </c>
      <c r="H374" s="372">
        <f>PRODUCT(F374,G374)</f>
        <v>0</v>
      </c>
      <c r="I374" s="83"/>
      <c r="J374" s="83"/>
      <c r="K374" s="83"/>
      <c r="L374" s="83"/>
      <c r="M374" s="84">
        <f>SUM(H374)</f>
        <v>0</v>
      </c>
      <c r="N374" s="37"/>
      <c r="Q374" s="325"/>
    </row>
    <row r="375" spans="1:17" s="1" customFormat="1" ht="12.75">
      <c r="A375" s="73"/>
      <c r="B375" s="101">
        <v>3</v>
      </c>
      <c r="C375" s="102" t="s">
        <v>24</v>
      </c>
      <c r="D375" s="101"/>
      <c r="E375" s="67"/>
      <c r="F375" s="67"/>
      <c r="G375" s="381"/>
      <c r="H375" s="368"/>
      <c r="I375" s="373">
        <f>SUM(H376)</f>
        <v>0.799866</v>
      </c>
      <c r="J375" s="128"/>
      <c r="K375" s="128"/>
      <c r="L375" s="128"/>
      <c r="M375" s="128"/>
      <c r="N375" s="37"/>
      <c r="Q375" s="325"/>
    </row>
    <row r="376" spans="1:17" s="1" customFormat="1" ht="12.75">
      <c r="A376" s="374"/>
      <c r="B376" s="101">
        <v>400001</v>
      </c>
      <c r="C376" s="102" t="s">
        <v>374</v>
      </c>
      <c r="D376" s="375" t="s">
        <v>26</v>
      </c>
      <c r="E376" s="267">
        <v>0.01</v>
      </c>
      <c r="F376" s="67">
        <f>E376*F369</f>
        <v>0.0018</v>
      </c>
      <c r="G376" s="380">
        <v>444.37</v>
      </c>
      <c r="H376" s="372">
        <f>PRODUCT(F376,G376)</f>
        <v>0.799866</v>
      </c>
      <c r="L376" s="37"/>
      <c r="Q376" s="325"/>
    </row>
    <row r="377" spans="1:17" s="1" customFormat="1" ht="12.75">
      <c r="A377" s="374"/>
      <c r="B377" s="376">
        <v>4</v>
      </c>
      <c r="C377" s="377" t="s">
        <v>27</v>
      </c>
      <c r="D377" s="101"/>
      <c r="E377" s="67"/>
      <c r="F377" s="103"/>
      <c r="G377" s="381"/>
      <c r="H377" s="368"/>
      <c r="J377" s="37">
        <f>SUM(H378:H380)</f>
        <v>354.36024</v>
      </c>
      <c r="K377" s="37"/>
      <c r="O377" s="37"/>
      <c r="Q377" s="325"/>
    </row>
    <row r="378" spans="1:17" s="1" customFormat="1" ht="12.75" customHeight="1">
      <c r="A378" s="371"/>
      <c r="B378" s="101" t="s">
        <v>248</v>
      </c>
      <c r="C378" s="102" t="s">
        <v>386</v>
      </c>
      <c r="D378" s="101" t="s">
        <v>35</v>
      </c>
      <c r="E378" s="67">
        <v>0.0161</v>
      </c>
      <c r="F378" s="67">
        <f>E378*F369</f>
        <v>0.002898</v>
      </c>
      <c r="G378" s="384">
        <v>98500</v>
      </c>
      <c r="H378" s="372">
        <f>PRODUCT(F378,G378)</f>
        <v>285.453</v>
      </c>
      <c r="M378" s="37"/>
      <c r="Q378" s="325"/>
    </row>
    <row r="379" spans="1:17" s="1" customFormat="1" ht="12.75">
      <c r="A379" s="371"/>
      <c r="B379" s="123" t="s">
        <v>375</v>
      </c>
      <c r="C379" s="102" t="s">
        <v>376</v>
      </c>
      <c r="D379" s="101" t="s">
        <v>35</v>
      </c>
      <c r="E379" s="67">
        <v>0.009</v>
      </c>
      <c r="F379" s="67">
        <f>E379*F369</f>
        <v>0.00162</v>
      </c>
      <c r="G379" s="381">
        <v>42500</v>
      </c>
      <c r="H379" s="372">
        <f>PRODUCT(F379,G379)</f>
        <v>68.85</v>
      </c>
      <c r="I379" s="37"/>
      <c r="Q379" s="325"/>
    </row>
    <row r="380" spans="1:17" s="1" customFormat="1" ht="12.75">
      <c r="A380" s="371"/>
      <c r="B380" s="101" t="s">
        <v>84</v>
      </c>
      <c r="C380" s="102" t="s">
        <v>85</v>
      </c>
      <c r="D380" s="101" t="s">
        <v>72</v>
      </c>
      <c r="E380" s="67">
        <v>0.1</v>
      </c>
      <c r="F380" s="67">
        <f>E380*F369</f>
        <v>0.018</v>
      </c>
      <c r="G380" s="382">
        <v>3.18</v>
      </c>
      <c r="H380" s="372">
        <f>PRODUCT(F380,G380)</f>
        <v>0.05724</v>
      </c>
      <c r="Q380" s="325"/>
    </row>
    <row r="381" spans="1:13" ht="12.75">
      <c r="A381" s="44">
        <v>0</v>
      </c>
      <c r="B381" s="38" t="s">
        <v>335</v>
      </c>
      <c r="C381" s="110" t="s">
        <v>336</v>
      </c>
      <c r="D381" s="38" t="s">
        <v>35</v>
      </c>
      <c r="E381" s="273"/>
      <c r="F381" s="111">
        <f>N385</f>
        <v>3.5873200000000005</v>
      </c>
      <c r="G381" s="46">
        <v>11.92</v>
      </c>
      <c r="H381" s="274">
        <f>PRODUCT(F381,G381)</f>
        <v>42.76085440000001</v>
      </c>
      <c r="I381" s="275">
        <f>SUM(H381)</f>
        <v>42.76085440000001</v>
      </c>
      <c r="K381" s="276"/>
      <c r="L381" s="276"/>
      <c r="M381" s="276"/>
    </row>
    <row r="382" spans="1:13" ht="12.75">
      <c r="A382" s="44">
        <v>0</v>
      </c>
      <c r="B382" s="38" t="s">
        <v>335</v>
      </c>
      <c r="C382" s="110" t="s">
        <v>337</v>
      </c>
      <c r="D382" s="38" t="s">
        <v>35</v>
      </c>
      <c r="E382" s="45"/>
      <c r="F382" s="111">
        <f>N385</f>
        <v>3.5873200000000005</v>
      </c>
      <c r="G382" s="46">
        <v>111.51</v>
      </c>
      <c r="H382" s="274">
        <f>PRODUCT(F382,G382)</f>
        <v>400.0220532000001</v>
      </c>
      <c r="I382" s="275">
        <f>SUM(H382)</f>
        <v>400.0220532000001</v>
      </c>
      <c r="J382" s="275"/>
      <c r="K382" s="275"/>
      <c r="L382" s="275"/>
      <c r="M382" s="276"/>
    </row>
    <row r="383" spans="1:13" ht="13.5" thickBot="1">
      <c r="A383" s="277"/>
      <c r="B383" s="278"/>
      <c r="C383" s="279"/>
      <c r="D383" s="278"/>
      <c r="E383" s="280"/>
      <c r="F383" s="281"/>
      <c r="G383" s="282"/>
      <c r="H383" s="283"/>
      <c r="I383" s="276"/>
      <c r="J383" s="276"/>
      <c r="K383" s="276"/>
      <c r="L383" s="276"/>
      <c r="M383" s="276"/>
    </row>
    <row r="384" spans="1:13" ht="12.75">
      <c r="A384" s="13"/>
      <c r="B384" s="13"/>
      <c r="C384" s="13"/>
      <c r="D384" s="13"/>
      <c r="E384" s="13"/>
      <c r="F384" s="13"/>
      <c r="G384" s="13"/>
      <c r="H384" s="181"/>
      <c r="I384" s="13"/>
      <c r="J384" s="13"/>
      <c r="K384" s="13"/>
      <c r="L384" s="13"/>
      <c r="M384" s="13"/>
    </row>
    <row r="385" spans="1:15" ht="12.75">
      <c r="A385" s="284" t="s">
        <v>338</v>
      </c>
      <c r="B385" s="13"/>
      <c r="C385" s="285"/>
      <c r="D385" s="13"/>
      <c r="E385" s="262"/>
      <c r="F385" s="262"/>
      <c r="G385" s="13"/>
      <c r="H385" s="262">
        <f>SUM(H22:H383)-M385</f>
        <v>434008.2054632962</v>
      </c>
      <c r="I385" s="137">
        <f aca="true" t="shared" si="4" ref="I385:O385">SUM(I22:I383)</f>
        <v>5839.840436910001</v>
      </c>
      <c r="J385" s="137">
        <f t="shared" si="4"/>
        <v>353806.03263534396</v>
      </c>
      <c r="K385" s="137">
        <f t="shared" si="4"/>
        <v>65797.44924719469</v>
      </c>
      <c r="L385" s="137">
        <f t="shared" si="4"/>
        <v>67583.93582228241</v>
      </c>
      <c r="M385" s="137">
        <f t="shared" si="4"/>
        <v>1289.6261504</v>
      </c>
      <c r="N385" s="137">
        <f t="shared" si="4"/>
        <v>3.5873200000000005</v>
      </c>
      <c r="O385" s="137">
        <f t="shared" si="4"/>
        <v>39236.34897746466</v>
      </c>
    </row>
    <row r="386" spans="1:15" ht="12.75">
      <c r="A386" s="13" t="s">
        <v>339</v>
      </c>
      <c r="B386" s="13"/>
      <c r="C386" s="13"/>
      <c r="D386" s="13"/>
      <c r="E386" s="13"/>
      <c r="F386" s="13"/>
      <c r="G386" s="13"/>
      <c r="H386" s="181">
        <f>SUM(L385)</f>
        <v>67583.93582228241</v>
      </c>
      <c r="I386" s="286" t="s">
        <v>340</v>
      </c>
      <c r="J386" s="286" t="s">
        <v>341</v>
      </c>
      <c r="K386" s="286" t="s">
        <v>342</v>
      </c>
      <c r="L386" s="286" t="s">
        <v>343</v>
      </c>
      <c r="M386" s="286" t="s">
        <v>344</v>
      </c>
      <c r="N386" s="287" t="s">
        <v>345</v>
      </c>
      <c r="O386" s="286" t="s">
        <v>346</v>
      </c>
    </row>
    <row r="387" spans="1:14" ht="12.75">
      <c r="A387" s="378" t="s">
        <v>387</v>
      </c>
      <c r="B387" s="13"/>
      <c r="C387" s="13"/>
      <c r="D387" s="13"/>
      <c r="E387" s="13"/>
      <c r="F387" s="13"/>
      <c r="G387" s="13"/>
      <c r="H387" s="181">
        <f>SUM(I385)</f>
        <v>5839.840436910001</v>
      </c>
      <c r="I387" s="137"/>
      <c r="J387" s="13"/>
      <c r="K387" s="13"/>
      <c r="L387" s="13"/>
      <c r="M387" s="13"/>
      <c r="N387" s="276"/>
    </row>
    <row r="388" spans="1:14" ht="12.75">
      <c r="A388" s="13" t="s">
        <v>347</v>
      </c>
      <c r="B388" s="13"/>
      <c r="C388" s="13"/>
      <c r="D388" s="137"/>
      <c r="E388" s="137"/>
      <c r="F388" s="13"/>
      <c r="G388" s="137"/>
      <c r="H388" s="181">
        <f>SUM(J385)</f>
        <v>353806.03263534396</v>
      </c>
      <c r="I388" s="137"/>
      <c r="J388" s="13"/>
      <c r="K388" s="13"/>
      <c r="L388" s="13"/>
      <c r="M388" s="13"/>
      <c r="N388" s="276"/>
    </row>
    <row r="389" spans="1:14" ht="12.75">
      <c r="A389" s="13" t="s">
        <v>348</v>
      </c>
      <c r="B389" s="13"/>
      <c r="C389" s="13"/>
      <c r="D389" s="13"/>
      <c r="E389" s="13"/>
      <c r="F389" s="13"/>
      <c r="G389" s="13"/>
      <c r="H389" s="181">
        <f>SUM(K385)</f>
        <v>65797.44924719469</v>
      </c>
      <c r="I389" s="137"/>
      <c r="J389" s="137"/>
      <c r="K389" s="13"/>
      <c r="L389" s="13"/>
      <c r="M389" s="13"/>
      <c r="N389" s="276"/>
    </row>
    <row r="390" spans="1:14" ht="12.75">
      <c r="A390" s="13" t="s">
        <v>349</v>
      </c>
      <c r="B390" s="13"/>
      <c r="C390" s="13"/>
      <c r="D390" s="13"/>
      <c r="E390" s="13"/>
      <c r="F390" s="13"/>
      <c r="G390" s="13"/>
      <c r="H390" s="181">
        <f>SUM(O385)</f>
        <v>39236.34897746466</v>
      </c>
      <c r="I390" s="13"/>
      <c r="J390" s="137"/>
      <c r="K390" s="13"/>
      <c r="L390" s="13"/>
      <c r="M390" s="13"/>
      <c r="N390" s="276"/>
    </row>
    <row r="391" spans="1:14" ht="12.75">
      <c r="A391" s="13" t="s">
        <v>350</v>
      </c>
      <c r="B391" s="13"/>
      <c r="C391" s="13"/>
      <c r="D391" s="13"/>
      <c r="E391" s="13"/>
      <c r="F391" s="13"/>
      <c r="G391" s="13"/>
      <c r="H391" s="181">
        <f>J385*0.02</f>
        <v>7076.120652706879</v>
      </c>
      <c r="I391" s="13"/>
      <c r="J391" s="13"/>
      <c r="K391" s="13"/>
      <c r="L391" s="13"/>
      <c r="M391" s="13"/>
      <c r="N391" s="276"/>
    </row>
    <row r="392" spans="1:14" ht="12.75">
      <c r="A392" s="288" t="s">
        <v>351</v>
      </c>
      <c r="B392" s="1"/>
      <c r="C392" s="1"/>
      <c r="D392" s="1"/>
      <c r="E392" s="1"/>
      <c r="F392" s="13"/>
      <c r="G392" s="1"/>
      <c r="H392" s="289">
        <f>SUM(H386:H391)</f>
        <v>539339.7277719025</v>
      </c>
      <c r="I392" s="13"/>
      <c r="J392" s="290"/>
      <c r="K392" s="291"/>
      <c r="L392" s="292"/>
      <c r="M392" s="13"/>
      <c r="N392" s="276"/>
    </row>
    <row r="393" spans="1:14" ht="12.75">
      <c r="A393" s="1" t="s">
        <v>352</v>
      </c>
      <c r="B393" s="1"/>
      <c r="C393" s="1"/>
      <c r="D393" s="1"/>
      <c r="E393" s="1"/>
      <c r="F393" s="13"/>
      <c r="G393" s="1"/>
      <c r="H393" s="293">
        <f>H392*0.0141*1.11</f>
        <v>8441.206079358046</v>
      </c>
      <c r="I393" s="13"/>
      <c r="J393" s="13"/>
      <c r="K393" s="137"/>
      <c r="L393" s="13"/>
      <c r="M393" s="13"/>
      <c r="N393" s="137"/>
    </row>
    <row r="394" spans="1:14" ht="12.75">
      <c r="A394" s="288" t="s">
        <v>351</v>
      </c>
      <c r="B394" s="1"/>
      <c r="C394" s="1"/>
      <c r="D394" s="1"/>
      <c r="E394" s="1"/>
      <c r="F394" s="13"/>
      <c r="G394" s="1"/>
      <c r="H394" s="289">
        <f>SUM(H392:H393)</f>
        <v>547780.9338512605</v>
      </c>
      <c r="I394" s="13"/>
      <c r="J394" s="13"/>
      <c r="K394" s="294"/>
      <c r="L394" s="13"/>
      <c r="M394" s="13"/>
      <c r="N394" s="286"/>
    </row>
    <row r="395" spans="1:14" ht="12.75">
      <c r="A395" s="1" t="s">
        <v>353</v>
      </c>
      <c r="B395" s="1"/>
      <c r="C395" s="1"/>
      <c r="D395" s="1"/>
      <c r="E395" s="1"/>
      <c r="F395" s="13"/>
      <c r="G395" s="1"/>
      <c r="H395" s="295">
        <f>H394*0.02</f>
        <v>10955.61867702521</v>
      </c>
      <c r="I395" s="13"/>
      <c r="J395" s="13"/>
      <c r="K395" s="294"/>
      <c r="L395" s="13"/>
      <c r="M395" s="13"/>
      <c r="N395" s="286"/>
    </row>
    <row r="396" spans="1:14" ht="12.75">
      <c r="A396" s="288" t="s">
        <v>351</v>
      </c>
      <c r="B396" s="1"/>
      <c r="C396" s="1"/>
      <c r="D396" s="1"/>
      <c r="E396" s="1"/>
      <c r="F396" s="13"/>
      <c r="G396" s="1"/>
      <c r="H396" s="289">
        <f>SUM(H394:H395)</f>
        <v>558736.5525282857</v>
      </c>
      <c r="I396" s="13"/>
      <c r="J396" s="13"/>
      <c r="K396" s="294"/>
      <c r="L396" s="13"/>
      <c r="M396" s="13"/>
      <c r="N396" s="286"/>
    </row>
    <row r="397" spans="1:14" ht="12.75">
      <c r="A397" s="1" t="s">
        <v>354</v>
      </c>
      <c r="B397" s="1"/>
      <c r="C397" s="1"/>
      <c r="D397" s="1"/>
      <c r="E397" s="1"/>
      <c r="F397" s="13"/>
      <c r="G397" s="1"/>
      <c r="H397" s="295">
        <f>H396*0.18</f>
        <v>100572.57945509141</v>
      </c>
      <c r="I397" s="13"/>
      <c r="J397" s="13"/>
      <c r="K397" s="13"/>
      <c r="L397" s="13"/>
      <c r="M397" s="13"/>
      <c r="N397" s="137"/>
    </row>
    <row r="398" spans="1:14" ht="12.75">
      <c r="A398" s="288" t="s">
        <v>355</v>
      </c>
      <c r="B398" s="1"/>
      <c r="C398" s="1"/>
      <c r="D398" s="1"/>
      <c r="E398" s="1"/>
      <c r="F398" s="13"/>
      <c r="G398" s="1"/>
      <c r="H398" s="289">
        <f>SUM(H396:H397)</f>
        <v>659309.131983377</v>
      </c>
      <c r="I398" s="296"/>
      <c r="J398" s="297"/>
      <c r="N398" s="137"/>
    </row>
    <row r="399" spans="1:14" ht="12.75">
      <c r="A399" s="298"/>
      <c r="B399" s="298"/>
      <c r="C399" s="298"/>
      <c r="D399" s="298"/>
      <c r="E399" s="298"/>
      <c r="F399" s="298"/>
      <c r="G399" s="298"/>
      <c r="H399" s="299"/>
      <c r="N399" s="13"/>
    </row>
    <row r="400" spans="1:14" ht="12.75">
      <c r="A400" s="298"/>
      <c r="B400" s="298"/>
      <c r="C400" s="298"/>
      <c r="D400" s="298"/>
      <c r="E400" s="298"/>
      <c r="F400" s="298"/>
      <c r="G400" s="298"/>
      <c r="H400" s="299"/>
      <c r="N400" s="13"/>
    </row>
    <row r="401" spans="1:14" ht="12.75">
      <c r="A401" s="298"/>
      <c r="B401" s="298"/>
      <c r="C401" s="298"/>
      <c r="D401" s="298"/>
      <c r="E401" s="298"/>
      <c r="F401" s="298"/>
      <c r="G401" s="298"/>
      <c r="H401" s="299"/>
      <c r="N401" s="13"/>
    </row>
    <row r="402" spans="1:14" ht="12.75">
      <c r="A402" t="s">
        <v>356</v>
      </c>
      <c r="B402" s="298"/>
      <c r="C402" s="298"/>
      <c r="D402" s="298"/>
      <c r="E402" s="298"/>
      <c r="F402" s="298"/>
      <c r="G402" s="298"/>
      <c r="H402" s="299"/>
      <c r="N402" s="13"/>
    </row>
    <row r="403" spans="2:12" ht="12.75">
      <c r="B403" s="298"/>
      <c r="C403" s="298"/>
      <c r="D403" s="298"/>
      <c r="E403" s="298"/>
      <c r="F403" s="298"/>
      <c r="L403" s="13"/>
    </row>
    <row r="404" spans="1:12" ht="12.75">
      <c r="A404" s="4" t="s">
        <v>357</v>
      </c>
      <c r="B404" s="298"/>
      <c r="C404" s="298"/>
      <c r="D404" s="298"/>
      <c r="E404" s="298"/>
      <c r="F404" s="298"/>
      <c r="L404" s="13"/>
    </row>
    <row r="406" ht="12.75">
      <c r="A406" s="13" t="s">
        <v>358</v>
      </c>
    </row>
  </sheetData>
  <sheetProtection/>
  <mergeCells count="12">
    <mergeCell ref="F1:H1"/>
    <mergeCell ref="E2:H3"/>
    <mergeCell ref="E5:F5"/>
    <mergeCell ref="A11:H11"/>
    <mergeCell ref="A12:H12"/>
    <mergeCell ref="A13:H13"/>
    <mergeCell ref="A18:A19"/>
    <mergeCell ref="B18:B19"/>
    <mergeCell ref="C18:C19"/>
    <mergeCell ref="D18:D19"/>
    <mergeCell ref="E18:F18"/>
    <mergeCell ref="G18:H18"/>
  </mergeCells>
  <printOptions/>
  <pageMargins left="0.7874015748031497" right="0.35433070866141736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Евгений</cp:lastModifiedBy>
  <dcterms:created xsi:type="dcterms:W3CDTF">2009-06-03T04:30:43Z</dcterms:created>
  <dcterms:modified xsi:type="dcterms:W3CDTF">2009-06-04T06:08:31Z</dcterms:modified>
  <cp:category/>
  <cp:version/>
  <cp:contentType/>
  <cp:contentStatus/>
</cp:coreProperties>
</file>